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4 Abril\"/>
    </mc:Choice>
  </mc:AlternateContent>
  <xr:revisionPtr revIDLastSave="0" documentId="13_ncr:1_{21E08A6F-3046-4004-8BDB-16CB9C7EDFD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G59" i="6" l="1"/>
  <c r="I57" i="1" l="1"/>
  <c r="F57" i="1"/>
  <c r="H57" i="1" l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1" i="2" s="1"/>
  <c r="G32" i="2"/>
  <c r="G28" i="2"/>
  <c r="D28" i="2" l="1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G13" i="1" l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<sst xmlns="http://schemas.openxmlformats.org/spreadsheetml/2006/main" count="308" uniqueCount="132">
  <si>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</si>
  <si>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</si>
  <si>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</si>
  <si>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</si>
  <si>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</si>
  <si>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</si>
  <si>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</si>
  <si>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</si>
  <si>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</si>
  <si>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</si>
  <si>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</si>
  <si>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</si>
  <si>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</si>
  <si>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</si>
  <si>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</si>
  <si>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</si>
  <si>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</si>
  <si>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</si>
  <si>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</si>
  <si>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</si>
  <si>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</si>
  <si>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</si>
  <si>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</si>
  <si>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</si>
  <si>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</si>
  <si>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</si>
  <si>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</si>
  <si>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</si>
  <si>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</si>
  <si>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</si>
  <si>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</si>
  <si>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</si>
  <si>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</si>
  <si>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</si>
  <si>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</si>
  <si>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</si>
  <si>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</si>
  <si>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</si>
  <si>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</si>
  <si>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</si>
  <si>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</si>
  <si>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</si>
  <si>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</si>
  <si>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</si>
  <si>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</si>
  <si>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</si>
  <si>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</si>
  <si>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</si>
  <si>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</si>
  <si>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</si>
  <si>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</si>
  <si>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</si>
  <si>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</si>
  <si>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</si>
  <si>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</si>
  <si>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</si>
  <si>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</si>
  <si>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</si>
  <si>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</si>
  <si>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</si>
  <si>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</si>
  <si>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</si>
  <si>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</si>
  <si>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</si>
  <si>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</si>
  <si>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</si>
  <si>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</si>
  <si>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</si>
  <si>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</si>
  <si>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</si>
  <si>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</si>
  <si>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</si>
  <si>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</si>
  <si>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</si>
  <si>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</si>
  <si>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</si>
  <si>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</si>
  <si>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</si>
  <si>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</si>
  <si>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</si>
  <si>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</si>
  <si>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</si>
  <si>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</si>
  <si>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</si>
  <si>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</si>
  <si>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</si>
  <si>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</si>
  <si>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</si>
  <si>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</si>
  <si>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</si>
  <si>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</si>
  <si>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</si>
  <si>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</si>
  <si>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</si>
  <si>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</si>
  <si>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</si>
  <si>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</si>
  <si>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</si>
  <si>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</si>
  <si>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</si>
  <si>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</si>
  <si>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</si>
  <si>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</si>
  <si>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</si>
  <si>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</si>
  <si>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</si>
  <si>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</si>
  <si>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</si>
  <si>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</si>
  <si>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</si>
  <si>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</si>
  <si>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</si>
  <si>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</si>
  <si>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</si>
  <si>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</si>
  <si>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</si>
  <si>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</si>
  <si>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</si>
  <si>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</si>
  <si>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</si>
  <si>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</si>
  <si>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</si>
  <si>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</si>
  <si>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</si>
  <si>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</si>
  <si>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MARZO 2021</t>
  </si>
  <si>
    <t>Marzo</t>
  </si>
  <si>
    <t>Enero - Marzo</t>
  </si>
  <si>
    <t>Grafico N° 11: Generación de energía eléctrica por Región, al mes de marzo 2021</t>
  </si>
  <si>
    <t>Cuadro N° 8: Producción de energía eléctrica nacional por zona del país, al mes de marzo</t>
  </si>
  <si>
    <t>3.2 Producción de energía eléctrica (GWh) por origen y zona al mes de marzo 2021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</si>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</sst>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178" fontId="76" fillId="68" borderId="32" xfId="33743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167" fontId="0" fillId="68" borderId="63" xfId="0" applyNumberFormat="1" applyFont="1" applyFill="1" applyBorder="1" applyAlignment="1">
      <alignment vertical="center"/>
    </xf>
    <xf numFmtId="167" fontId="0" fillId="68" borderId="84" xfId="0" applyNumberFormat="1" applyFont="1" applyFill="1" applyBorder="1" applyAlignment="1">
      <alignment vertical="center"/>
    </xf>
    <xf numFmtId="167" fontId="99" fillId="0" borderId="86" xfId="0" applyNumberFormat="1" applyFont="1" applyBorder="1"/>
    <xf numFmtId="167" fontId="99" fillId="0" borderId="60" xfId="0" applyNumberFormat="1" applyFont="1" applyBorder="1"/>
    <xf numFmtId="167" fontId="99" fillId="0" borderId="28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Marzo 2021</a:t>
            </a:r>
          </a:p>
          <a:p>
            <a:pPr>
              <a:defRPr sz="800" b="1"/>
            </a:pPr>
            <a:r>
              <a:rPr lang="es-PE" sz="800" b="1"/>
              <a:t>Total : 4 968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67.984964977051717</c:v>
                </c:pt>
                <c:pt idx="1">
                  <c:v>134.95522898429667</c:v>
                </c:pt>
                <c:pt idx="2">
                  <c:v>3211.0561309199766</c:v>
                </c:pt>
                <c:pt idx="3">
                  <c:v>1353.8580027778021</c:v>
                </c:pt>
                <c:pt idx="4">
                  <c:v>199.71189114750013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2693.4009644728717</c:v>
                </c:pt>
                <c:pt idx="2" formatCode="_ * #,##0.00_ ;_ * \-#,##0.00_ ;_ * &quot;-&quot;??_ ;_ @_ ">
                  <c:v>6.4619999999999999E-3</c:v>
                </c:pt>
                <c:pt idx="3">
                  <c:v>1251.7688078001679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62.864541680000023</c:v>
                </c:pt>
                <c:pt idx="1">
                  <c:v>424.72558140935882</c:v>
                </c:pt>
                <c:pt idx="2">
                  <c:v>63.765243977500049</c:v>
                </c:pt>
                <c:pt idx="3">
                  <c:v>77.132687412954851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39.647552705733339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3945.1762342730394</c:v>
                </c:pt>
                <c:pt idx="1">
                  <c:v>628.48805447981374</c:v>
                </c:pt>
                <c:pt idx="2">
                  <c:v>354.25437734803933</c:v>
                </c:pt>
                <c:pt idx="3">
                  <c:v>39.647552705733339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CAJAMARCA</c:v>
                </c:pt>
                <c:pt idx="7">
                  <c:v>CALLAO</c:v>
                </c:pt>
                <c:pt idx="8">
                  <c:v>PUNO</c:v>
                </c:pt>
                <c:pt idx="9">
                  <c:v>AREQUIPA</c:v>
                </c:pt>
                <c:pt idx="10">
                  <c:v>LA LIBERTAD</c:v>
                </c:pt>
                <c:pt idx="11">
                  <c:v>ICA</c:v>
                </c:pt>
                <c:pt idx="12">
                  <c:v>PIURA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APURIMAC</c:v>
                </c:pt>
                <c:pt idx="20">
                  <c:v>SAN MARTÍN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1865.1445195724955</c:v>
                </c:pt>
                <c:pt idx="1">
                  <c:v>906.21485583000003</c:v>
                </c:pt>
                <c:pt idx="2">
                  <c:v>321.08813464166633</c:v>
                </c:pt>
                <c:pt idx="3">
                  <c:v>317.57039780583341</c:v>
                </c:pt>
                <c:pt idx="4">
                  <c:v>284.97802515690012</c:v>
                </c:pt>
                <c:pt idx="5">
                  <c:v>200.04062633416675</c:v>
                </c:pt>
                <c:pt idx="6">
                  <c:v>138.05183418420006</c:v>
                </c:pt>
                <c:pt idx="7">
                  <c:v>137.37990222281073</c:v>
                </c:pt>
                <c:pt idx="8">
                  <c:v>127.24457790000005</c:v>
                </c:pt>
                <c:pt idx="9">
                  <c:v>114.67737352374995</c:v>
                </c:pt>
                <c:pt idx="10">
                  <c:v>104.65884625813395</c:v>
                </c:pt>
                <c:pt idx="11">
                  <c:v>103.37567733666668</c:v>
                </c:pt>
                <c:pt idx="12">
                  <c:v>98.75286398593866</c:v>
                </c:pt>
                <c:pt idx="13">
                  <c:v>97.733115757499988</c:v>
                </c:pt>
                <c:pt idx="14">
                  <c:v>63.26313122333336</c:v>
                </c:pt>
                <c:pt idx="15">
                  <c:v>39.647552705733339</c:v>
                </c:pt>
                <c:pt idx="16">
                  <c:v>15.067283285833334</c:v>
                </c:pt>
                <c:pt idx="17">
                  <c:v>14.372532312499999</c:v>
                </c:pt>
                <c:pt idx="18">
                  <c:v>4.6678736941666683</c:v>
                </c:pt>
                <c:pt idx="19">
                  <c:v>4.3017905000000001</c:v>
                </c:pt>
                <c:pt idx="20">
                  <c:v>3.9878434999999999</c:v>
                </c:pt>
                <c:pt idx="21">
                  <c:v>3.0345677256000001</c:v>
                </c:pt>
                <c:pt idx="22">
                  <c:v>1.1005480000000003</c:v>
                </c:pt>
                <c:pt idx="23">
                  <c:v>1.0459034999999999</c:v>
                </c:pt>
                <c:pt idx="24">
                  <c:v>0.16644184939704329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MX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MX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3228.7392071729123</c:v>
                </c:pt>
                <c:pt idx="1">
                  <c:v>888.83939749037415</c:v>
                </c:pt>
                <c:pt idx="2">
                  <c:v>130.41451477500001</c:v>
                </c:pt>
                <c:pt idx="3">
                  <c:v>60.128664322500001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3279.0410958970283</c:v>
                </c:pt>
                <c:pt idx="1">
                  <c:v>1488.8132317620987</c:v>
                </c:pt>
                <c:pt idx="2">
                  <c:v>135.94664717000006</c:v>
                </c:pt>
                <c:pt idx="3">
                  <c:v>63.765243977500049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180.60960426901224</c:v>
                </c:pt>
                <c:pt idx="1">
                  <c:v>196.23972923615719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4127.512179491775</c:v>
                </c:pt>
                <c:pt idx="1">
                  <c:v>4771.3264895704706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2987.9888519754122</c:v>
                </c:pt>
                <c:pt idx="1">
                  <c:v>3018.8993876120285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855.59609433287415</c:v>
                </c:pt>
                <c:pt idx="1">
                  <c:v>1437.716030980258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240.75035519750026</c:v>
                </c:pt>
                <c:pt idx="1">
                  <c:v>260.14170828499988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223.78648225500001</c:v>
                </c:pt>
                <c:pt idx="1">
                  <c:v>250.80909192934055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3279.0410958970283</c:v>
                </c:pt>
                <c:pt idx="1">
                  <c:v>1342.0594757202612</c:v>
                </c:pt>
                <c:pt idx="2">
                  <c:v>95.446555259998604</c:v>
                </c:pt>
                <c:pt idx="3">
                  <c:v>51.097200781840428</c:v>
                </c:pt>
                <c:pt idx="4">
                  <c:v>135.94664717000006</c:v>
                </c:pt>
                <c:pt idx="5">
                  <c:v>63.765243977500049</c:v>
                </c:pt>
                <c:pt idx="6" formatCode="#,##0.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4084.3353015057874</c:v>
                </c:pt>
                <c:pt idx="1">
                  <c:v>4716.7571268772881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223.78648225500001</c:v>
                </c:pt>
                <c:pt idx="1">
                  <c:v>250.80909192934052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5.1945254449061777E-2</c:v>
                </c:pt>
                <c:pt idx="1">
                  <c:v>5.0489330364597136E-2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3228.7392071729123</c:v>
                </c:pt>
                <c:pt idx="1">
                  <c:v>761.48176357999989</c:v>
                </c:pt>
                <c:pt idx="2">
                  <c:v>93.839330752874957</c:v>
                </c:pt>
                <c:pt idx="3" formatCode="#,##0.00">
                  <c:v>0.27500000000000002</c:v>
                </c:pt>
                <c:pt idx="4">
                  <c:v>33.243303157500009</c:v>
                </c:pt>
                <c:pt idx="5">
                  <c:v>130.41451477500001</c:v>
                </c:pt>
                <c:pt idx="6">
                  <c:v>60.128664322500001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3279.0410958970283</c:v>
                </c:pt>
                <c:pt idx="1">
                  <c:v>1342.0594757202612</c:v>
                </c:pt>
                <c:pt idx="2">
                  <c:v>95.446555259998604</c:v>
                </c:pt>
                <c:pt idx="3" formatCode="#,##0.00">
                  <c:v>0.21</c:v>
                </c:pt>
                <c:pt idx="4">
                  <c:v>51.097200781840428</c:v>
                </c:pt>
                <c:pt idx="5">
                  <c:v>135.94664717000006</c:v>
                </c:pt>
                <c:pt idx="6">
                  <c:v>63.765243977500049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73.082105490000032</c:v>
                </c:pt>
                <c:pt idx="1">
                  <c:v>160.91455001479792</c:v>
                </c:pt>
                <c:pt idx="2">
                  <c:v>0</c:v>
                </c:pt>
                <c:pt idx="3">
                  <c:v>120.25772184324137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marzo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topLeftCell="B1" zoomScaleNormal="120" zoomScaleSheetLayoutView="100" workbookViewId="0">
      <selection activeCell="C3" sqref="C3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5.66406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3" t="s">
        <v>64</v>
      </c>
      <c r="R11" s="146" t="s">
        <v>41</v>
      </c>
      <c r="S11" s="147">
        <f>E12</f>
        <v>67.984964977051717</v>
      </c>
    </row>
    <row r="12" spans="2:19" s="1" customFormat="1">
      <c r="B12" s="8"/>
      <c r="C12" s="137" t="s">
        <v>66</v>
      </c>
      <c r="D12" s="138">
        <v>3211.0561309199766</v>
      </c>
      <c r="E12" s="139">
        <v>67.984964977051717</v>
      </c>
      <c r="F12" s="140">
        <f>SUM(D12:E12)</f>
        <v>3279.0410958970283</v>
      </c>
      <c r="G12" s="340">
        <f>(F12/F$16)</f>
        <v>0.66009006251048263</v>
      </c>
      <c r="H12" s="9"/>
      <c r="I12" s="9"/>
      <c r="J12" s="9"/>
      <c r="K12" s="9"/>
      <c r="Q12" s="373"/>
      <c r="R12" s="146" t="s">
        <v>73</v>
      </c>
      <c r="S12" s="147">
        <f>E13</f>
        <v>134.95522898429667</v>
      </c>
    </row>
    <row r="13" spans="2:19" s="1" customFormat="1">
      <c r="B13" s="8"/>
      <c r="C13" s="137" t="s">
        <v>65</v>
      </c>
      <c r="D13" s="138">
        <v>1353.8580027778021</v>
      </c>
      <c r="E13" s="139">
        <v>134.95522898429667</v>
      </c>
      <c r="F13" s="140">
        <f>SUM(D13:E13)</f>
        <v>1488.8132317620987</v>
      </c>
      <c r="G13" s="340">
        <f>(F13/F$16)</f>
        <v>0.2997067711197538</v>
      </c>
      <c r="H13" s="9"/>
      <c r="I13" s="9"/>
      <c r="J13" s="9"/>
      <c r="K13" s="9"/>
      <c r="Q13" s="373" t="s">
        <v>88</v>
      </c>
      <c r="R13" s="146" t="s">
        <v>41</v>
      </c>
      <c r="S13" s="147">
        <f>D12</f>
        <v>3211.0561309199766</v>
      </c>
    </row>
    <row r="14" spans="2:19" s="1" customFormat="1">
      <c r="B14" s="8"/>
      <c r="C14" s="137" t="s">
        <v>67</v>
      </c>
      <c r="D14" s="138">
        <v>135.94664717000006</v>
      </c>
      <c r="E14" s="141"/>
      <c r="F14" s="140">
        <f>SUM(D14:E14)</f>
        <v>135.94664717000006</v>
      </c>
      <c r="G14" s="340">
        <f>(F14/F$16)</f>
        <v>2.7366851528887907E-2</v>
      </c>
      <c r="H14" s="9"/>
      <c r="I14" s="9"/>
      <c r="J14" s="9"/>
      <c r="K14" s="9"/>
      <c r="Q14" s="373"/>
      <c r="R14" s="146" t="s">
        <v>73</v>
      </c>
      <c r="S14" s="147">
        <f>D13</f>
        <v>1353.8580027778021</v>
      </c>
    </row>
    <row r="15" spans="2:19" s="1" customFormat="1" ht="13.8" thickBot="1">
      <c r="B15" s="8"/>
      <c r="C15" s="142" t="s">
        <v>5</v>
      </c>
      <c r="D15" s="143">
        <v>63.765243977500049</v>
      </c>
      <c r="E15" s="144"/>
      <c r="F15" s="145">
        <f>SUM(D15:E15)</f>
        <v>63.765243977500049</v>
      </c>
      <c r="G15" s="341">
        <f>(F15/F$16)</f>
        <v>1.283631484087565E-2</v>
      </c>
      <c r="H15" s="9"/>
      <c r="I15" s="9"/>
      <c r="J15" s="9"/>
      <c r="K15" s="9"/>
      <c r="Q15" s="373"/>
      <c r="R15" s="146" t="s">
        <v>87</v>
      </c>
      <c r="S15" s="147">
        <f>SUM(D14:D15)</f>
        <v>199.71189114750013</v>
      </c>
    </row>
    <row r="16" spans="2:19" s="1" customFormat="1" ht="13.8" thickTop="1">
      <c r="B16" s="8"/>
      <c r="C16" s="247" t="s">
        <v>71</v>
      </c>
      <c r="D16" s="248">
        <f>SUM(D12:D15)</f>
        <v>4764.6260248452791</v>
      </c>
      <c r="E16" s="249">
        <f>SUM(E12:E15)</f>
        <v>202.94019396134837</v>
      </c>
      <c r="F16" s="250">
        <f>SUM(F12:F15)</f>
        <v>4967.5662188066271</v>
      </c>
      <c r="G16" s="251"/>
      <c r="H16" s="9"/>
      <c r="I16" s="9"/>
      <c r="J16" s="9"/>
      <c r="K16" s="9"/>
    </row>
    <row r="17" spans="2:19" s="1" customFormat="1">
      <c r="B17" s="8"/>
      <c r="C17" s="252" t="s">
        <v>109</v>
      </c>
      <c r="D17" s="319">
        <f>D16/F16</f>
        <v>0.95914695747929035</v>
      </c>
      <c r="E17" s="320">
        <f>E16/F16</f>
        <v>4.0853042520709724E-2</v>
      </c>
      <c r="F17" s="253"/>
      <c r="G17" s="254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69" t="s">
        <v>112</v>
      </c>
      <c r="D23" s="370"/>
      <c r="E23" s="374" t="s">
        <v>126</v>
      </c>
      <c r="F23" s="375"/>
      <c r="G23" s="151" t="s">
        <v>74</v>
      </c>
      <c r="H23" s="376" t="s">
        <v>127</v>
      </c>
      <c r="I23" s="377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6">
        <v>2020</v>
      </c>
      <c r="I24" s="155">
        <v>2021</v>
      </c>
      <c r="J24" s="156"/>
      <c r="K24" s="9"/>
      <c r="Q24" s="146" t="s">
        <v>76</v>
      </c>
      <c r="R24" s="147">
        <f>E29</f>
        <v>180.60960426901224</v>
      </c>
      <c r="S24" s="147">
        <f>F29</f>
        <v>196.23972923615719</v>
      </c>
    </row>
    <row r="25" spans="2:19" s="1" customFormat="1">
      <c r="B25" s="8"/>
      <c r="C25" s="365" t="s">
        <v>0</v>
      </c>
      <c r="D25" s="366"/>
      <c r="E25" s="191">
        <f>SUM(E26:E28)</f>
        <v>4127.512179491775</v>
      </c>
      <c r="F25" s="192">
        <f>SUM(F26:F28)</f>
        <v>4771.3264895704706</v>
      </c>
      <c r="G25" s="193">
        <f>((F25/E25)-1)</f>
        <v>0.15598120177030439</v>
      </c>
      <c r="H25" s="237">
        <f>SUM(H26:H28)</f>
        <v>13399.32621853309</v>
      </c>
      <c r="I25" s="192">
        <f>SUM(I26:I28)</f>
        <v>13740.156770024971</v>
      </c>
      <c r="J25" s="193">
        <f>((I25/H25)-1)</f>
        <v>2.5436394780840921E-2</v>
      </c>
      <c r="K25" s="9"/>
      <c r="Q25" s="146" t="s">
        <v>0</v>
      </c>
      <c r="R25" s="147">
        <f>E25</f>
        <v>4127.512179491775</v>
      </c>
      <c r="S25" s="147">
        <f>F25</f>
        <v>4771.3264895704706</v>
      </c>
    </row>
    <row r="26" spans="2:19" s="1" customFormat="1">
      <c r="B26" s="8"/>
      <c r="C26" s="267" t="s">
        <v>62</v>
      </c>
      <c r="D26" s="276" t="s">
        <v>102</v>
      </c>
      <c r="E26" s="158">
        <v>3999.0571485549995</v>
      </c>
      <c r="F26" s="159">
        <v>4619.3049310874976</v>
      </c>
      <c r="G26" s="160">
        <f t="shared" ref="G26:G32" si="0">((F26/E26)-1)</f>
        <v>0.15509850434535943</v>
      </c>
      <c r="H26" s="238">
        <v>13000.666071844998</v>
      </c>
      <c r="I26" s="159">
        <v>13331.094206179998</v>
      </c>
      <c r="J26" s="160">
        <f t="shared" ref="J26:J32" si="1">((I26/H26)-1)</f>
        <v>2.5416246560673761E-2</v>
      </c>
      <c r="K26" s="9"/>
    </row>
    <row r="27" spans="2:19" s="1" customFormat="1">
      <c r="B27" s="8"/>
      <c r="C27" s="268" t="s">
        <v>106</v>
      </c>
      <c r="D27" s="277" t="s">
        <v>77</v>
      </c>
      <c r="E27" s="270">
        <v>89.535202668521251</v>
      </c>
      <c r="F27" s="271">
        <v>96.283061067446909</v>
      </c>
      <c r="G27" s="280">
        <f t="shared" si="0"/>
        <v>7.5365422736660248E-2</v>
      </c>
      <c r="H27" s="272">
        <v>259.37988667731332</v>
      </c>
      <c r="I27" s="271">
        <v>255.34731611944687</v>
      </c>
      <c r="J27" s="280">
        <f t="shared" si="1"/>
        <v>-1.5546967074140383E-2</v>
      </c>
      <c r="K27" s="9"/>
    </row>
    <row r="28" spans="2:19" s="1" customFormat="1">
      <c r="B28" s="8"/>
      <c r="C28" s="269" t="s">
        <v>64</v>
      </c>
      <c r="D28" s="278" t="s">
        <v>77</v>
      </c>
      <c r="E28" s="158">
        <v>38.919828268253752</v>
      </c>
      <c r="F28" s="159">
        <v>55.738497415525316</v>
      </c>
      <c r="G28" s="279">
        <f t="shared" si="0"/>
        <v>0.43213626307262687</v>
      </c>
      <c r="H28" s="238">
        <v>139.28026001077797</v>
      </c>
      <c r="I28" s="159">
        <v>153.71524772552533</v>
      </c>
      <c r="J28" s="279">
        <f t="shared" si="1"/>
        <v>0.10363986765698407</v>
      </c>
      <c r="K28" s="9"/>
    </row>
    <row r="29" spans="2:19" s="1" customFormat="1">
      <c r="B29" s="8"/>
      <c r="C29" s="365" t="s">
        <v>76</v>
      </c>
      <c r="D29" s="366"/>
      <c r="E29" s="191">
        <f>SUM(E30:E31)</f>
        <v>180.60960426901224</v>
      </c>
      <c r="F29" s="192">
        <f>SUM(F30:F31)</f>
        <v>196.23972923615719</v>
      </c>
      <c r="G29" s="193">
        <f t="shared" si="0"/>
        <v>8.654094022521841E-2</v>
      </c>
      <c r="H29" s="237">
        <f>SUM(H30:H31)</f>
        <v>618.7648254054136</v>
      </c>
      <c r="I29" s="192">
        <f>SUM(I30:I31)</f>
        <v>536.09066993251417</v>
      </c>
      <c r="J29" s="193">
        <f t="shared" si="1"/>
        <v>-0.13361159535649347</v>
      </c>
      <c r="K29" s="9"/>
      <c r="Q29" s="146"/>
      <c r="R29" s="146"/>
      <c r="S29" s="146"/>
    </row>
    <row r="30" spans="2:19" s="1" customFormat="1">
      <c r="B30" s="8"/>
      <c r="C30" s="273" t="s">
        <v>68</v>
      </c>
      <c r="D30" s="153"/>
      <c r="E30" s="158">
        <v>41.387402619391992</v>
      </c>
      <c r="F30" s="159">
        <v>49.038032690334134</v>
      </c>
      <c r="G30" s="279">
        <f t="shared" si="0"/>
        <v>0.1848540760409414</v>
      </c>
      <c r="H30" s="238">
        <v>125.90337562819201</v>
      </c>
      <c r="I30" s="159">
        <v>130.10304459233416</v>
      </c>
      <c r="J30" s="338">
        <f t="shared" si="1"/>
        <v>3.3356285668974195E-2</v>
      </c>
      <c r="K30" s="9"/>
    </row>
    <row r="31" spans="2:19" s="1" customFormat="1" ht="13.8" thickBot="1">
      <c r="B31" s="8"/>
      <c r="C31" s="274" t="s">
        <v>64</v>
      </c>
      <c r="D31" s="275"/>
      <c r="E31" s="162">
        <v>139.22220164962025</v>
      </c>
      <c r="F31" s="163">
        <v>147.20169654582307</v>
      </c>
      <c r="G31" s="164">
        <f t="shared" si="0"/>
        <v>5.7314816183447359E-2</v>
      </c>
      <c r="H31" s="239">
        <v>492.86144977722159</v>
      </c>
      <c r="I31" s="163">
        <v>405.98762534017999</v>
      </c>
      <c r="J31" s="303">
        <f t="shared" si="1"/>
        <v>-0.17626419042574637</v>
      </c>
      <c r="K31" s="9"/>
    </row>
    <row r="32" spans="2:19" s="1" customFormat="1" ht="14.4" thickTop="1" thickBot="1">
      <c r="B32" s="8"/>
      <c r="C32" s="367" t="s">
        <v>108</v>
      </c>
      <c r="D32" s="368"/>
      <c r="E32" s="194">
        <f>SUM(E25,E29)</f>
        <v>4308.1217837607874</v>
      </c>
      <c r="F32" s="195">
        <f>SUM(F25,F29)</f>
        <v>4967.5662188066281</v>
      </c>
      <c r="G32" s="196">
        <f t="shared" si="0"/>
        <v>0.15307005422445985</v>
      </c>
      <c r="H32" s="240">
        <f>SUM(H25,H29)</f>
        <v>14018.091043938502</v>
      </c>
      <c r="I32" s="195">
        <f>SUM(I25,I29)</f>
        <v>14276.247439957486</v>
      </c>
      <c r="J32" s="196">
        <f t="shared" si="1"/>
        <v>1.8415945167556291E-2</v>
      </c>
      <c r="K32" s="9"/>
    </row>
    <row r="33" spans="2:19" s="1" customFormat="1">
      <c r="B33" s="8"/>
      <c r="C33" s="314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74" t="s">
        <v>126</v>
      </c>
      <c r="F38" s="375"/>
      <c r="G38" s="371" t="s">
        <v>74</v>
      </c>
      <c r="H38" s="376" t="s">
        <v>127</v>
      </c>
      <c r="I38" s="377"/>
      <c r="J38" s="371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72"/>
      <c r="H39" s="241">
        <v>2020</v>
      </c>
      <c r="I39" s="94">
        <v>2021</v>
      </c>
      <c r="J39" s="372"/>
      <c r="K39" s="9"/>
      <c r="Q39" s="146" t="s">
        <v>66</v>
      </c>
      <c r="R39" s="147">
        <f>SUM(E41,E46)</f>
        <v>3228.7392071729123</v>
      </c>
      <c r="S39" s="147">
        <f>SUM(F41,F46)</f>
        <v>3279.0410958970283</v>
      </c>
    </row>
    <row r="40" spans="2:19" s="1" customFormat="1">
      <c r="B40" s="8"/>
      <c r="C40" s="365" t="s">
        <v>68</v>
      </c>
      <c r="D40" s="366"/>
      <c r="E40" s="191">
        <f>SUM(E41:E44)</f>
        <v>4129.979753842912</v>
      </c>
      <c r="F40" s="192">
        <f>SUM(F41:F44)</f>
        <v>4764.6260248452791</v>
      </c>
      <c r="G40" s="193">
        <f>((F40/E40)-1)</f>
        <v>0.15366813128123291</v>
      </c>
      <c r="H40" s="237">
        <f>SUM(H41:H44)</f>
        <v>13385.949334150506</v>
      </c>
      <c r="I40" s="192">
        <f>SUM(I41:I44)</f>
        <v>13716.544566891778</v>
      </c>
      <c r="J40" s="193">
        <f>((I40/H40)-1)</f>
        <v>2.469718243276553E-2</v>
      </c>
      <c r="K40" s="9"/>
      <c r="Q40" s="146" t="s">
        <v>65</v>
      </c>
      <c r="R40" s="147">
        <f>SUM(E42,E47)</f>
        <v>888.83939749037415</v>
      </c>
      <c r="S40" s="147">
        <f>SUM(F42,F47)</f>
        <v>1488.8132317620987</v>
      </c>
    </row>
    <row r="41" spans="2:19" s="1" customFormat="1">
      <c r="B41" s="8"/>
      <c r="C41" s="157" t="s">
        <v>66</v>
      </c>
      <c r="D41" s="132"/>
      <c r="E41" s="158">
        <v>3170.0088853329121</v>
      </c>
      <c r="F41" s="159">
        <f>D12</f>
        <v>3211.0561309199766</v>
      </c>
      <c r="G41" s="279">
        <f t="shared" ref="G41:G48" si="2">((F41/E41)-1)</f>
        <v>1.2948621619637501E-2</v>
      </c>
      <c r="H41" s="238">
        <v>9535.1052396905052</v>
      </c>
      <c r="I41" s="159">
        <v>9541.7141232824761</v>
      </c>
      <c r="J41" s="279">
        <f t="shared" ref="J41:J48" si="3">((I41/H41)-1)</f>
        <v>6.9311071307964767E-4</v>
      </c>
      <c r="K41" s="9"/>
      <c r="Q41" s="146" t="s">
        <v>67</v>
      </c>
      <c r="R41" s="147">
        <f>E43</f>
        <v>130.41451477500001</v>
      </c>
      <c r="S41" s="147">
        <f>F43</f>
        <v>135.94664717000006</v>
      </c>
    </row>
    <row r="42" spans="2:19" s="1" customFormat="1">
      <c r="B42" s="8"/>
      <c r="C42" s="157" t="s">
        <v>65</v>
      </c>
      <c r="D42" s="132"/>
      <c r="E42" s="158">
        <v>769.42768941250017</v>
      </c>
      <c r="F42" s="159">
        <f>D13</f>
        <v>1353.8580027778021</v>
      </c>
      <c r="G42" s="279">
        <f t="shared" si="2"/>
        <v>0.75956496160353448</v>
      </c>
      <c r="H42" s="238">
        <v>3311.1292411050003</v>
      </c>
      <c r="I42" s="159">
        <v>3565.0763281593017</v>
      </c>
      <c r="J42" s="279">
        <f t="shared" si="3"/>
        <v>7.66950090324936E-2</v>
      </c>
      <c r="K42" s="9"/>
      <c r="Q42" s="146" t="s">
        <v>5</v>
      </c>
      <c r="R42" s="147">
        <f>E44</f>
        <v>60.128664322500001</v>
      </c>
      <c r="S42" s="147">
        <f>F44</f>
        <v>63.765243977500049</v>
      </c>
    </row>
    <row r="43" spans="2:19" s="1" customFormat="1">
      <c r="B43" s="8"/>
      <c r="C43" s="157" t="s">
        <v>67</v>
      </c>
      <c r="D43" s="132"/>
      <c r="E43" s="158">
        <v>130.41451477500001</v>
      </c>
      <c r="F43" s="159">
        <f>D14</f>
        <v>135.94664717000006</v>
      </c>
      <c r="G43" s="279">
        <f t="shared" si="2"/>
        <v>4.2419606472059224E-2</v>
      </c>
      <c r="H43" s="238">
        <v>367.63456796000003</v>
      </c>
      <c r="I43" s="159">
        <v>409.27291917250005</v>
      </c>
      <c r="J43" s="279">
        <f t="shared" si="3"/>
        <v>0.11326016332890232</v>
      </c>
      <c r="K43" s="9"/>
    </row>
    <row r="44" spans="2:19" s="1" customFormat="1">
      <c r="B44" s="8"/>
      <c r="C44" s="157" t="s">
        <v>5</v>
      </c>
      <c r="D44" s="132"/>
      <c r="E44" s="158">
        <v>60.128664322500001</v>
      </c>
      <c r="F44" s="159">
        <f>D15</f>
        <v>63.765243977500049</v>
      </c>
      <c r="G44" s="93">
        <f t="shared" si="2"/>
        <v>6.0479967349603259E-2</v>
      </c>
      <c r="H44" s="238">
        <v>172.080285395</v>
      </c>
      <c r="I44" s="159">
        <v>200.48119627750003</v>
      </c>
      <c r="J44" s="160">
        <f t="shared" si="3"/>
        <v>0.16504453614373915</v>
      </c>
      <c r="K44" s="9"/>
      <c r="Q44" s="146"/>
      <c r="R44" s="146"/>
      <c r="S44" s="146"/>
    </row>
    <row r="45" spans="2:19" s="1" customFormat="1">
      <c r="B45" s="8"/>
      <c r="C45" s="365" t="s">
        <v>64</v>
      </c>
      <c r="D45" s="366"/>
      <c r="E45" s="191">
        <f>SUM(E46:E47)</f>
        <v>178.14202991787397</v>
      </c>
      <c r="F45" s="192">
        <f>SUM(F46:F47)</f>
        <v>202.94019396134837</v>
      </c>
      <c r="G45" s="193">
        <f t="shared" si="2"/>
        <v>0.13920445419257166</v>
      </c>
      <c r="H45" s="237">
        <f>SUM(H46:H47)</f>
        <v>632.14170978799962</v>
      </c>
      <c r="I45" s="192">
        <f>SUM(I46:I47)</f>
        <v>559.70287306570538</v>
      </c>
      <c r="J45" s="193">
        <f t="shared" si="3"/>
        <v>-0.11459271805777216</v>
      </c>
      <c r="K45" s="9"/>
    </row>
    <row r="46" spans="2:19" s="1" customFormat="1">
      <c r="B46" s="8"/>
      <c r="C46" s="157" t="s">
        <v>66</v>
      </c>
      <c r="D46" s="132"/>
      <c r="E46" s="158">
        <v>58.730321840000002</v>
      </c>
      <c r="F46" s="159">
        <f>E12</f>
        <v>67.984964977051717</v>
      </c>
      <c r="G46" s="160">
        <f t="shared" si="2"/>
        <v>0.15757862118079813</v>
      </c>
      <c r="H46" s="238">
        <v>188.57408584000001</v>
      </c>
      <c r="I46" s="159">
        <v>195.42662268935865</v>
      </c>
      <c r="J46" s="160">
        <f t="shared" si="3"/>
        <v>3.6338698495257837E-2</v>
      </c>
      <c r="K46" s="9"/>
    </row>
    <row r="47" spans="2:19" s="1" customFormat="1" ht="13.8" thickBot="1">
      <c r="B47" s="8"/>
      <c r="C47" s="161" t="s">
        <v>65</v>
      </c>
      <c r="D47" s="132"/>
      <c r="E47" s="162">
        <v>119.41170807787398</v>
      </c>
      <c r="F47" s="163">
        <f>E13</f>
        <v>134.95522898429667</v>
      </c>
      <c r="G47" s="303">
        <f t="shared" si="2"/>
        <v>0.13016747818636021</v>
      </c>
      <c r="H47" s="239">
        <v>443.56762394799966</v>
      </c>
      <c r="I47" s="163">
        <v>364.27625037634675</v>
      </c>
      <c r="J47" s="164">
        <f t="shared" si="3"/>
        <v>-0.1787582530616536</v>
      </c>
      <c r="K47" s="9"/>
    </row>
    <row r="48" spans="2:19" s="1" customFormat="1" ht="14.4" thickTop="1" thickBot="1">
      <c r="B48" s="8"/>
      <c r="C48" s="367" t="s">
        <v>108</v>
      </c>
      <c r="D48" s="368"/>
      <c r="E48" s="194">
        <f>SUM(E40,E45)</f>
        <v>4308.1217837607855</v>
      </c>
      <c r="F48" s="195">
        <f>SUM(F40,F45)</f>
        <v>4967.5662188066271</v>
      </c>
      <c r="G48" s="196">
        <f t="shared" si="2"/>
        <v>0.15307005422446029</v>
      </c>
      <c r="H48" s="240">
        <f>SUM(H40,H45)</f>
        <v>14018.091043938506</v>
      </c>
      <c r="I48" s="195">
        <f>SUM(I40,I45)</f>
        <v>14276.247439957484</v>
      </c>
      <c r="J48" s="196">
        <f t="shared" si="3"/>
        <v>1.8415945167555847E-2</v>
      </c>
      <c r="K48" s="9"/>
    </row>
    <row r="49" spans="2:23" s="1" customFormat="1">
      <c r="B49" s="8"/>
      <c r="C49" s="265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0"/>
    </row>
    <row r="53" spans="2:23" s="1" customFormat="1" ht="13.8" thickBot="1">
      <c r="B53" s="8"/>
      <c r="C53" s="10"/>
      <c r="H53" s="9"/>
      <c r="I53" s="9"/>
      <c r="J53" s="9"/>
      <c r="K53" s="9"/>
      <c r="L53" s="260"/>
      <c r="M53" s="260"/>
    </row>
    <row r="54" spans="2:23" s="1" customFormat="1" ht="12.75" customHeight="1">
      <c r="B54" s="8"/>
      <c r="C54" s="149"/>
      <c r="D54" s="150"/>
      <c r="E54" s="374" t="s">
        <v>126</v>
      </c>
      <c r="F54" s="375"/>
      <c r="G54" s="371" t="s">
        <v>74</v>
      </c>
      <c r="H54" s="376" t="s">
        <v>127</v>
      </c>
      <c r="I54" s="377"/>
      <c r="J54" s="371" t="s">
        <v>74</v>
      </c>
      <c r="K54" s="9"/>
      <c r="L54" s="260"/>
      <c r="M54" s="260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72"/>
      <c r="H55" s="241">
        <v>2020</v>
      </c>
      <c r="I55" s="94">
        <v>2021</v>
      </c>
      <c r="J55" s="372"/>
      <c r="K55" s="9"/>
      <c r="L55" s="260"/>
      <c r="M55" s="260"/>
    </row>
    <row r="56" spans="2:23" s="1" customFormat="1">
      <c r="B56" s="8"/>
      <c r="C56" s="365" t="s">
        <v>68</v>
      </c>
      <c r="D56" s="366"/>
      <c r="E56" s="191">
        <f>SUM(E57:E60)</f>
        <v>4129.979753842912</v>
      </c>
      <c r="F56" s="192">
        <f>SUM(F57:F60)</f>
        <v>4764.6260248452782</v>
      </c>
      <c r="G56" s="193">
        <f>((F56/E56)-1)</f>
        <v>0.15366813128123269</v>
      </c>
      <c r="H56" s="237">
        <f>SUM(H57:H60)</f>
        <v>13385.949334150506</v>
      </c>
      <c r="I56" s="192">
        <f>SUM(I57:I60)</f>
        <v>13716.544566891778</v>
      </c>
      <c r="J56" s="193">
        <f>((I56/H56)-1)</f>
        <v>2.469718243276553E-2</v>
      </c>
      <c r="K56" s="9"/>
    </row>
    <row r="57" spans="2:23" s="1" customFormat="1" ht="26.4">
      <c r="B57" s="8"/>
      <c r="C57" s="379" t="s">
        <v>78</v>
      </c>
      <c r="D57" s="281" t="s">
        <v>79</v>
      </c>
      <c r="E57" s="327">
        <f>SUM(E43:E44)+23.2113991575</f>
        <v>213.75457825500001</v>
      </c>
      <c r="F57" s="328">
        <f>SUM(F43:F44)+32.2034687240389</f>
        <v>231.91535987153901</v>
      </c>
      <c r="G57" s="171">
        <f t="shared" ref="G57:G65" si="4">((F57/E57)-1)</f>
        <v>8.4960901257862043E-2</v>
      </c>
      <c r="H57" s="329">
        <f>SUM(H43:H44)+67.894335155</f>
        <v>607.60918851000008</v>
      </c>
      <c r="I57" s="328">
        <f>SUM(I43:I44)+84.7512287240389</f>
        <v>694.50534417403901</v>
      </c>
      <c r="J57" s="171">
        <f t="shared" ref="J57:J65" si="5">((I57/H57)-1)</f>
        <v>0.14301323499917551</v>
      </c>
      <c r="K57" s="9"/>
      <c r="L57" s="260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80"/>
      <c r="D58" s="282" t="s">
        <v>110</v>
      </c>
      <c r="E58" s="270">
        <v>240.75035519750026</v>
      </c>
      <c r="F58" s="332">
        <v>260.14170828499988</v>
      </c>
      <c r="G58" s="280">
        <f t="shared" si="4"/>
        <v>8.0545480697596039E-2</v>
      </c>
      <c r="H58" s="272">
        <v>689.72900171250024</v>
      </c>
      <c r="I58" s="271">
        <v>740.64200978749989</v>
      </c>
      <c r="J58" s="280">
        <f t="shared" si="5"/>
        <v>7.3815959526987829E-2</v>
      </c>
      <c r="K58" s="9"/>
      <c r="L58" s="260"/>
      <c r="M58" s="260"/>
      <c r="Q58" s="373" t="s">
        <v>80</v>
      </c>
      <c r="R58" s="146" t="s">
        <v>66</v>
      </c>
      <c r="T58" s="147">
        <f>SUM(E60,E64)</f>
        <v>2987.9888519754122</v>
      </c>
      <c r="U58" s="147">
        <f>SUM(F60,F64)</f>
        <v>3018.8993876120285</v>
      </c>
      <c r="V58" s="148">
        <f t="shared" ref="V58:W61" si="6">T58/T$64</f>
        <v>0.69357112030548018</v>
      </c>
      <c r="W58" s="148">
        <f t="shared" si="6"/>
        <v>0.6077220221409082</v>
      </c>
    </row>
    <row r="59" spans="2:23" s="1" customFormat="1">
      <c r="B59" s="8"/>
      <c r="C59" s="378" t="s">
        <v>80</v>
      </c>
      <c r="D59" s="283" t="s">
        <v>81</v>
      </c>
      <c r="E59" s="158">
        <f>SUM(E42:E44)-E57</f>
        <v>746.2162902550001</v>
      </c>
      <c r="F59" s="159">
        <f>SUM(F42:F44)-F57</f>
        <v>1321.654534053763</v>
      </c>
      <c r="G59" s="279">
        <f t="shared" si="4"/>
        <v>0.77114135849556664</v>
      </c>
      <c r="H59" s="238">
        <f>SUM(H42:H44)-H57</f>
        <v>3243.2349059500002</v>
      </c>
      <c r="I59" s="159">
        <f>SUM(I42:I44)-I57</f>
        <v>3480.3250994352629</v>
      </c>
      <c r="J59" s="279">
        <f t="shared" si="5"/>
        <v>7.3102997581303786E-2</v>
      </c>
      <c r="K59" s="9"/>
      <c r="Q59" s="373"/>
      <c r="R59" s="146" t="s">
        <v>65</v>
      </c>
      <c r="T59" s="147">
        <f>SUM(E59,E63)</f>
        <v>855.59609433287415</v>
      </c>
      <c r="U59" s="147">
        <f>SUM(F59,F63)</f>
        <v>1437.716030980258</v>
      </c>
      <c r="V59" s="148">
        <f t="shared" si="6"/>
        <v>0.19860072144617491</v>
      </c>
      <c r="W59" s="148">
        <f t="shared" si="6"/>
        <v>0.28942060712492018</v>
      </c>
    </row>
    <row r="60" spans="2:23" s="1" customFormat="1">
      <c r="B60" s="8"/>
      <c r="C60" s="378"/>
      <c r="D60" s="284" t="s">
        <v>41</v>
      </c>
      <c r="E60" s="158">
        <f>E41-E58</f>
        <v>2929.258530135412</v>
      </c>
      <c r="F60" s="159">
        <f>F41-F58</f>
        <v>2950.9144226349767</v>
      </c>
      <c r="G60" s="160">
        <f t="shared" si="4"/>
        <v>7.3929604631257639E-3</v>
      </c>
      <c r="H60" s="238">
        <f>H41-H58</f>
        <v>8845.3762379780055</v>
      </c>
      <c r="I60" s="159">
        <f>I41-I58</f>
        <v>8801.0721134949763</v>
      </c>
      <c r="J60" s="279">
        <f t="shared" si="5"/>
        <v>-5.0087326181568192E-3</v>
      </c>
      <c r="K60" s="9"/>
      <c r="Q60" s="373" t="s">
        <v>78</v>
      </c>
      <c r="R60" s="146" t="s">
        <v>66</v>
      </c>
      <c r="T60" s="147">
        <f>E58</f>
        <v>240.75035519750026</v>
      </c>
      <c r="U60" s="147">
        <f>F58</f>
        <v>260.14170828499988</v>
      </c>
      <c r="V60" s="148">
        <f t="shared" si="6"/>
        <v>5.5882903799283172E-2</v>
      </c>
      <c r="W60" s="148">
        <f t="shared" si="6"/>
        <v>5.2368040369574473E-2</v>
      </c>
    </row>
    <row r="61" spans="2:23" s="1" customFormat="1">
      <c r="B61" s="8"/>
      <c r="C61" s="365" t="s">
        <v>64</v>
      </c>
      <c r="D61" s="366"/>
      <c r="E61" s="191">
        <f>SUM(E62:E64)</f>
        <v>178.14202991787397</v>
      </c>
      <c r="F61" s="192">
        <f>SUM(F62:F64)</f>
        <v>202.94019396134837</v>
      </c>
      <c r="G61" s="193">
        <f t="shared" si="4"/>
        <v>0.13920445419257166</v>
      </c>
      <c r="H61" s="237">
        <f>SUM(H62:H64)</f>
        <v>632.14170978799962</v>
      </c>
      <c r="I61" s="192">
        <f>SUM(I62:I64)</f>
        <v>559.70287306570538</v>
      </c>
      <c r="J61" s="193">
        <f t="shared" si="5"/>
        <v>-0.11459271805777216</v>
      </c>
      <c r="K61" s="9"/>
      <c r="Q61" s="373"/>
      <c r="R61" s="146" t="s">
        <v>89</v>
      </c>
      <c r="T61" s="147">
        <f>E57+E62</f>
        <v>223.78648225500001</v>
      </c>
      <c r="U61" s="147">
        <f>F57+F62</f>
        <v>250.80909192934055</v>
      </c>
      <c r="V61" s="148">
        <f t="shared" si="6"/>
        <v>5.1945254449061791E-2</v>
      </c>
      <c r="W61" s="148">
        <f t="shared" si="6"/>
        <v>5.0489330364597164E-2</v>
      </c>
    </row>
    <row r="62" spans="2:23" s="1" customFormat="1">
      <c r="B62" s="8"/>
      <c r="C62" s="315" t="s">
        <v>78</v>
      </c>
      <c r="D62" s="316" t="s">
        <v>114</v>
      </c>
      <c r="E62" s="357">
        <v>10.031903999999999</v>
      </c>
      <c r="F62" s="330">
        <v>18.893732057801536</v>
      </c>
      <c r="G62" s="317">
        <f t="shared" si="4"/>
        <v>0.88336451961676854</v>
      </c>
      <c r="H62" s="331">
        <v>50.085522799999993</v>
      </c>
      <c r="I62" s="330">
        <v>52.942489057801531</v>
      </c>
      <c r="J62" s="317">
        <f t="shared" si="5"/>
        <v>5.7041757739255017E-2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81" t="s">
        <v>80</v>
      </c>
      <c r="D63" s="283" t="s">
        <v>81</v>
      </c>
      <c r="E63" s="158">
        <f>E47-E62</f>
        <v>109.37980407787398</v>
      </c>
      <c r="F63" s="159">
        <f>F47-F62</f>
        <v>116.06149692649512</v>
      </c>
      <c r="G63" s="279">
        <f t="shared" ref="G63" si="7">((F63/E63)-1)</f>
        <v>6.1087080059716081E-2</v>
      </c>
      <c r="H63" s="238">
        <f>H47-H62</f>
        <v>393.48210114799969</v>
      </c>
      <c r="I63" s="159">
        <f>I47-I62</f>
        <v>311.33376131854521</v>
      </c>
      <c r="J63" s="338">
        <f t="shared" ref="J63" si="8">((I63/H63)-1)</f>
        <v>-0.20877274872169138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82"/>
      <c r="D64" s="285" t="s">
        <v>41</v>
      </c>
      <c r="E64" s="162">
        <f>E46</f>
        <v>58.730321840000002</v>
      </c>
      <c r="F64" s="163">
        <f>F46</f>
        <v>67.984964977051717</v>
      </c>
      <c r="G64" s="164">
        <f t="shared" si="4"/>
        <v>0.15757862118079813</v>
      </c>
      <c r="H64" s="239">
        <f>H46</f>
        <v>188.57408584000001</v>
      </c>
      <c r="I64" s="163">
        <f>I46</f>
        <v>195.42662268935865</v>
      </c>
      <c r="J64" s="164">
        <f t="shared" si="5"/>
        <v>3.6338698495257837E-2</v>
      </c>
      <c r="K64" s="9"/>
      <c r="Q64" s="146"/>
      <c r="R64" s="146"/>
      <c r="T64" s="147">
        <f>SUM(T58:T61)</f>
        <v>4308.1217837607865</v>
      </c>
      <c r="U64" s="147">
        <f>SUM(U58:U61)</f>
        <v>4967.5662188066271</v>
      </c>
      <c r="V64" s="146"/>
      <c r="W64" s="146"/>
    </row>
    <row r="65" spans="2:22" s="1" customFormat="1" ht="14.4" thickTop="1" thickBot="1">
      <c r="B65" s="8"/>
      <c r="C65" s="367" t="s">
        <v>108</v>
      </c>
      <c r="D65" s="368"/>
      <c r="E65" s="194">
        <f>SUM(E56,E61)</f>
        <v>4308.1217837607855</v>
      </c>
      <c r="F65" s="195">
        <f>SUM(F56,F61)</f>
        <v>4967.5662188066262</v>
      </c>
      <c r="G65" s="196">
        <f t="shared" si="4"/>
        <v>0.15307005422446007</v>
      </c>
      <c r="H65" s="240">
        <f>SUM(H56,H61)</f>
        <v>14018.091043938506</v>
      </c>
      <c r="I65" s="195">
        <f>SUM(I56,I61)</f>
        <v>14276.247439957484</v>
      </c>
      <c r="J65" s="196">
        <f t="shared" si="5"/>
        <v>1.8415945167555847E-2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5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49" zoomScale="120" zoomScaleNormal="100" zoomScaleSheetLayoutView="12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3279.0410958970283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1342.0594757202612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95.446555259998604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51.097200781840428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135.94664717000006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63.765243977500049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6">
        <f t="shared" si="0"/>
        <v>0.21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4967.5662188066281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1"/>
      <c r="G23" s="26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5" t="s">
        <v>61</v>
      </c>
      <c r="D26" s="385" t="s">
        <v>126</v>
      </c>
      <c r="E26" s="385"/>
      <c r="F26" s="386" t="s">
        <v>74</v>
      </c>
      <c r="G26" s="388" t="s">
        <v>127</v>
      </c>
      <c r="H26" s="389"/>
      <c r="I26" s="386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6"/>
      <c r="D27" s="96">
        <v>2020</v>
      </c>
      <c r="E27" s="97">
        <v>2021</v>
      </c>
      <c r="F27" s="387"/>
      <c r="G27" s="242">
        <v>2020</v>
      </c>
      <c r="H27" s="97">
        <v>2021</v>
      </c>
      <c r="I27" s="387"/>
      <c r="J27" s="20"/>
      <c r="K27" s="54"/>
      <c r="L27" s="54"/>
      <c r="M27" s="55" t="s">
        <v>85</v>
      </c>
      <c r="N27" s="70">
        <f t="shared" ref="N27:O29" si="1">D28</f>
        <v>3228.7392071729123</v>
      </c>
      <c r="O27" s="70">
        <f t="shared" si="1"/>
        <v>3279.0410958970283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3228.7392071729123</v>
      </c>
      <c r="E28" s="170">
        <f>'Resumen (G)'!F41+'Resumen (G)'!F46</f>
        <v>3279.0410958970283</v>
      </c>
      <c r="F28" s="171">
        <f>+E28/D28-1</f>
        <v>1.5579421407701854E-2</v>
      </c>
      <c r="G28" s="255">
        <f>'Resumen (G)'!H41+'Resumen (G)'!H46</f>
        <v>9723.6793255305056</v>
      </c>
      <c r="H28" s="170">
        <f>'Resumen (G)'!I41+'Resumen (G)'!I46</f>
        <v>9737.1407459718339</v>
      </c>
      <c r="I28" s="364">
        <f>+H28/G28-1</f>
        <v>1.3843957611789914E-3</v>
      </c>
      <c r="J28" s="304"/>
      <c r="K28" s="54"/>
      <c r="L28" s="54"/>
      <c r="M28" s="55" t="s">
        <v>2</v>
      </c>
      <c r="N28" s="70">
        <f t="shared" si="1"/>
        <v>761.48176357999989</v>
      </c>
      <c r="O28" s="70">
        <f t="shared" si="1"/>
        <v>1342.0594757202612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761.48176357999989</v>
      </c>
      <c r="E29" s="174">
        <v>1342.0594757202612</v>
      </c>
      <c r="F29" s="175">
        <f t="shared" ref="F29:F35" si="2">+E29/D29-1</f>
        <v>0.76243153796718177</v>
      </c>
      <c r="G29" s="256">
        <v>3318.1993213324999</v>
      </c>
      <c r="H29" s="174">
        <v>3542.1402601877612</v>
      </c>
      <c r="I29" s="175">
        <f t="shared" ref="I29:I35" si="3">+H29/G29-1</f>
        <v>6.7488694068363664E-2</v>
      </c>
      <c r="J29" s="262"/>
      <c r="K29" s="263"/>
      <c r="L29" s="54"/>
      <c r="M29" s="55" t="s">
        <v>84</v>
      </c>
      <c r="N29" s="70">
        <f t="shared" si="1"/>
        <v>93.839330752874957</v>
      </c>
      <c r="O29" s="70">
        <f t="shared" si="1"/>
        <v>95.446555259998604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93.839330752874957</v>
      </c>
      <c r="E30" s="174">
        <f>'Resumen (G)'!F32-SUM('TipoRecurso (G)'!E28:E29,'TipoRecurso (G)'!E31:E34)</f>
        <v>95.446555259998604</v>
      </c>
      <c r="F30" s="175">
        <f t="shared" si="2"/>
        <v>1.7127408030607638E-2</v>
      </c>
      <c r="G30" s="256">
        <f>'Resumen (G)'!H32-SUM('TipoRecurso (G)'!G28:G29,'TipoRecurso (G)'!G31:G34)</f>
        <v>317.89468576549552</v>
      </c>
      <c r="H30" s="174">
        <f>'Resumen (G)'!I32-SUM('TipoRecurso (G)'!H28:H29,'TipoRecurso (G)'!H31:H34)</f>
        <v>248.6856005660502</v>
      </c>
      <c r="I30" s="175">
        <f t="shared" si="3"/>
        <v>-0.2177107334549766</v>
      </c>
      <c r="J30" s="304"/>
      <c r="K30" s="54"/>
      <c r="L30" s="54"/>
      <c r="M30" s="55" t="s">
        <v>4</v>
      </c>
      <c r="N30" s="100">
        <f>D34</f>
        <v>0.27500000000000002</v>
      </c>
      <c r="O30" s="100">
        <f>E34</f>
        <v>0.21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33.243303157500009</v>
      </c>
      <c r="E31" s="174">
        <f>'Resumen (G)'!F57+'Resumen (G)'!F62-SUM('TipoRecurso (G)'!E32:E33)</f>
        <v>51.097200781840428</v>
      </c>
      <c r="F31" s="175">
        <f t="shared" si="2"/>
        <v>0.53706749716634006</v>
      </c>
      <c r="G31" s="256">
        <f>'Resumen (G)'!H57+'Resumen (G)'!H62-SUM('TipoRecurso (G)'!G32:G33)</f>
        <v>117.97985795500006</v>
      </c>
      <c r="H31" s="174">
        <f>'Resumen (G)'!I57+'Resumen (G)'!I62-SUM('TipoRecurso (G)'!H32:H33)</f>
        <v>137.69371778184041</v>
      </c>
      <c r="I31" s="175">
        <f t="shared" si="3"/>
        <v>0.16709513105499441</v>
      </c>
      <c r="J31" s="20"/>
      <c r="K31" s="54"/>
      <c r="L31" s="54"/>
      <c r="M31" s="55" t="s">
        <v>90</v>
      </c>
      <c r="N31" s="70">
        <f t="shared" ref="N31:O33" si="4">D31</f>
        <v>33.243303157500009</v>
      </c>
      <c r="O31" s="70">
        <f t="shared" si="4"/>
        <v>51.097200781840428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130.41451477500001</v>
      </c>
      <c r="E32" s="174">
        <f>'Resumen (G)'!F43</f>
        <v>135.94664717000006</v>
      </c>
      <c r="F32" s="175">
        <f t="shared" si="2"/>
        <v>4.2419606472059224E-2</v>
      </c>
      <c r="G32" s="256">
        <f>'Resumen (G)'!H43</f>
        <v>367.63456796000003</v>
      </c>
      <c r="H32" s="174">
        <f>'Resumen (G)'!I43</f>
        <v>409.27291917250005</v>
      </c>
      <c r="I32" s="175">
        <f t="shared" si="3"/>
        <v>0.11326016332890232</v>
      </c>
      <c r="J32" s="20"/>
      <c r="K32" s="54"/>
      <c r="L32" s="54"/>
      <c r="M32" s="55" t="s">
        <v>14</v>
      </c>
      <c r="N32" s="70">
        <f t="shared" si="4"/>
        <v>130.41451477500001</v>
      </c>
      <c r="O32" s="70">
        <f t="shared" si="4"/>
        <v>135.94664717000006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60.128664322500001</v>
      </c>
      <c r="E33" s="174">
        <f>'Resumen (G)'!F44</f>
        <v>63.765243977500049</v>
      </c>
      <c r="F33" s="175">
        <f t="shared" si="2"/>
        <v>6.0479967349603259E-2</v>
      </c>
      <c r="G33" s="256">
        <f>'Resumen (G)'!H44</f>
        <v>172.080285395</v>
      </c>
      <c r="H33" s="174">
        <f>'Resumen (G)'!I44</f>
        <v>200.48119627750003</v>
      </c>
      <c r="I33" s="175">
        <f t="shared" si="3"/>
        <v>0.16504453614373915</v>
      </c>
      <c r="J33" s="20"/>
      <c r="K33" s="54"/>
      <c r="L33" s="54"/>
      <c r="M33" s="55" t="s">
        <v>5</v>
      </c>
      <c r="N33" s="70">
        <f t="shared" si="4"/>
        <v>60.128664322500001</v>
      </c>
      <c r="O33" s="70">
        <f t="shared" si="4"/>
        <v>63.765243977500049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58">
        <v>0.27500000000000002</v>
      </c>
      <c r="E34" s="359">
        <v>0.21</v>
      </c>
      <c r="F34" s="177">
        <f t="shared" si="2"/>
        <v>-0.23636363636363644</v>
      </c>
      <c r="G34" s="360">
        <v>0.623</v>
      </c>
      <c r="H34" s="359">
        <v>0.83299999999999996</v>
      </c>
      <c r="I34" s="177">
        <f t="shared" si="3"/>
        <v>0.33707865168539319</v>
      </c>
      <c r="J34" s="20"/>
      <c r="K34" s="54"/>
      <c r="L34" s="54"/>
      <c r="M34" s="98"/>
      <c r="N34" s="99">
        <f>SUM(N27:N33)</f>
        <v>4308.1217837607874</v>
      </c>
      <c r="O34" s="99">
        <f>SUM(O27:O33)</f>
        <v>4967.5662188066281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7" t="s">
        <v>108</v>
      </c>
      <c r="D35" s="308">
        <f>SUM(D28:D34)</f>
        <v>4308.1217837607865</v>
      </c>
      <c r="E35" s="309">
        <f>SUM(E28:E34)</f>
        <v>4967.5662188066281</v>
      </c>
      <c r="F35" s="310">
        <f t="shared" si="2"/>
        <v>0.15307005422446007</v>
      </c>
      <c r="G35" s="311">
        <f>SUM(G28:G34)</f>
        <v>14018.091043938502</v>
      </c>
      <c r="H35" s="309">
        <f>SUM(H28:H34)</f>
        <v>14276.247439957486</v>
      </c>
      <c r="I35" s="312">
        <f t="shared" si="3"/>
        <v>1.8415945167556291E-2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1"/>
      <c r="N39" s="23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1">
        <f t="shared" ref="M40:N46" si="5">N27/N$34</f>
        <v>0.74945402410476314</v>
      </c>
      <c r="N40" s="231">
        <f t="shared" si="5"/>
        <v>0.66009006251048252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1">
        <f t="shared" si="5"/>
        <v>0.17675492982820512</v>
      </c>
      <c r="N41" s="231">
        <f t="shared" si="5"/>
        <v>0.27016438565818812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1">
        <f t="shared" si="5"/>
        <v>2.1781958696385235E-2</v>
      </c>
      <c r="N42" s="231">
        <f t="shared" si="5"/>
        <v>1.9213947244155306E-2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1">
        <f t="shared" si="5"/>
        <v>6.3832921584667461E-5</v>
      </c>
      <c r="N43" s="231">
        <f t="shared" si="5"/>
        <v>4.2274222577036699E-5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1">
        <f t="shared" si="5"/>
        <v>7.716426049701912E-3</v>
      </c>
      <c r="N44" s="231">
        <f t="shared" si="5"/>
        <v>1.02861639948336E-2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1">
        <f t="shared" si="5"/>
        <v>3.0271779982309201E-2</v>
      </c>
      <c r="N45" s="231">
        <f t="shared" si="5"/>
        <v>2.7366851528887903E-2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1">
        <f t="shared" si="5"/>
        <v>1.3957048417050668E-2</v>
      </c>
      <c r="N46" s="231">
        <f t="shared" si="5"/>
        <v>1.2836314840875648E-2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1">
        <f>N34/N$34</f>
        <v>1</v>
      </c>
      <c r="N47" s="23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2">
        <f>SUM(M39:M46)</f>
        <v>1</v>
      </c>
      <c r="N49" s="232">
        <f>SUM(N39:N46)</f>
        <v>1.0000000000000002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3" t="s">
        <v>91</v>
      </c>
      <c r="D53" s="385" t="s">
        <v>126</v>
      </c>
      <c r="E53" s="385"/>
      <c r="F53" s="386" t="s">
        <v>74</v>
      </c>
      <c r="G53" s="388" t="s">
        <v>127</v>
      </c>
      <c r="H53" s="389"/>
      <c r="I53" s="386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4"/>
      <c r="D54" s="96">
        <v>2020</v>
      </c>
      <c r="E54" s="97">
        <v>2021</v>
      </c>
      <c r="F54" s="387"/>
      <c r="G54" s="242">
        <v>2020</v>
      </c>
      <c r="H54" s="97">
        <v>2021</v>
      </c>
      <c r="I54" s="387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0" t="s">
        <v>42</v>
      </c>
      <c r="D55" s="291">
        <f>SUM(D28:D30,D34)</f>
        <v>4084.3353015057874</v>
      </c>
      <c r="E55" s="292">
        <f>SUM(E28:E30,E34)</f>
        <v>4716.7571268772881</v>
      </c>
      <c r="F55" s="293">
        <f>+E55/D55-1</f>
        <v>0.15484081954249529</v>
      </c>
      <c r="G55" s="294">
        <f>SUM(G28:G30,G34)</f>
        <v>13360.396332628501</v>
      </c>
      <c r="H55" s="292">
        <f>SUM(H28:H30,H34)</f>
        <v>13528.799606725646</v>
      </c>
      <c r="I55" s="293">
        <f>+H55/G55-1</f>
        <v>1.2604661561264718E-2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5" t="s">
        <v>104</v>
      </c>
      <c r="D56" s="296">
        <f>SUM(D31:D33)</f>
        <v>223.78648225500001</v>
      </c>
      <c r="E56" s="297">
        <f>SUM(E31:E33)</f>
        <v>250.80909192934052</v>
      </c>
      <c r="F56" s="298">
        <f>+E56/D56-1</f>
        <v>0.12075175141074346</v>
      </c>
      <c r="G56" s="299">
        <f>SUM(G31:G33)</f>
        <v>657.69471131000012</v>
      </c>
      <c r="H56" s="297">
        <f>SUM(H31:H33)</f>
        <v>747.44783323184038</v>
      </c>
      <c r="I56" s="300">
        <f>+H56/G56-1</f>
        <v>0.13646623635313948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4308.1217837607874</v>
      </c>
      <c r="E57" s="102">
        <f>SUM(E55:E56)</f>
        <v>4967.566218806629</v>
      </c>
      <c r="F57" s="103">
        <f>+E57/D57-1</f>
        <v>0.15307005422446007</v>
      </c>
      <c r="G57" s="257">
        <f>SUM(G55:G56)</f>
        <v>14018.091043938501</v>
      </c>
      <c r="H57" s="102">
        <f>SUM(H55:H56)</f>
        <v>14276.247439957486</v>
      </c>
      <c r="I57" s="103">
        <f>+H57/G57-1</f>
        <v>1.8415945167556513E-2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5.1945254449061777E-2</v>
      </c>
      <c r="E58" s="105">
        <f>+E56/E57</f>
        <v>5.0489330364597136E-2</v>
      </c>
      <c r="F58" s="106"/>
      <c r="G58" s="258">
        <f>+G56/G57</f>
        <v>4.6917565968755133E-2</v>
      </c>
      <c r="H58" s="105">
        <f>+H56/H57</f>
        <v>5.2356043587464346E-2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6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4084.3353015057874</v>
      </c>
      <c r="N63" s="76">
        <f>E55</f>
        <v>4716.7571268772881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223.78648225500001</v>
      </c>
      <c r="N64" s="76">
        <f>E56</f>
        <v>250.80909192934052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6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2"/>
      <c r="D76" s="385" t="s">
        <v>126</v>
      </c>
      <c r="E76" s="385"/>
      <c r="F76" s="107" t="s">
        <v>74</v>
      </c>
      <c r="G76" s="388" t="s">
        <v>127</v>
      </c>
      <c r="H76" s="389"/>
      <c r="I76" s="229" t="s">
        <v>74</v>
      </c>
      <c r="J76" s="19"/>
      <c r="K76" s="57"/>
      <c r="L76" s="57"/>
      <c r="M76" s="55" t="s">
        <v>96</v>
      </c>
      <c r="N76" s="70">
        <f>D78</f>
        <v>1.7738100400000001</v>
      </c>
      <c r="O76" s="70">
        <f>E78</f>
        <v>0.67748770000000014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4">
        <v>2021</v>
      </c>
      <c r="F77" s="108"/>
      <c r="G77" s="353">
        <v>2020</v>
      </c>
      <c r="H77" s="97">
        <v>2021</v>
      </c>
      <c r="I77" s="230"/>
      <c r="J77" s="19"/>
      <c r="K77" s="57"/>
      <c r="L77" s="57"/>
      <c r="M77" s="55" t="s">
        <v>97</v>
      </c>
      <c r="N77" s="70">
        <f>D79</f>
        <v>4128.2059438029119</v>
      </c>
      <c r="O77" s="70">
        <f>E79</f>
        <v>4763.9485371452793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158">
        <v>1.7738100400000001</v>
      </c>
      <c r="E78" s="335">
        <v>0.67748770000000014</v>
      </c>
      <c r="F78" s="160">
        <f>((E78/D78)-1)</f>
        <v>-0.61806073665024464</v>
      </c>
      <c r="G78" s="238">
        <v>10.943885732500002</v>
      </c>
      <c r="H78" s="335">
        <v>3.2340662624999998</v>
      </c>
      <c r="I78" s="160">
        <f>((H78/G78)-1)</f>
        <v>-0.70448647385856655</v>
      </c>
      <c r="J78" s="19"/>
      <c r="K78" s="261"/>
      <c r="L78" s="57"/>
    </row>
    <row r="79" spans="2:28" ht="16.5" customHeight="1" thickBot="1">
      <c r="C79" s="301" t="s">
        <v>97</v>
      </c>
      <c r="D79" s="162">
        <f>'Resumen (G)'!E40-D78</f>
        <v>4128.2059438029119</v>
      </c>
      <c r="E79" s="333">
        <f>'Resumen (G)'!F40-E78</f>
        <v>4763.9485371452793</v>
      </c>
      <c r="F79" s="164">
        <f>((E79/D79)-1)</f>
        <v>0.15399972821043906</v>
      </c>
      <c r="G79" s="239">
        <f>'Resumen (G)'!H40-G78</f>
        <v>13375.005448418005</v>
      </c>
      <c r="H79" s="333">
        <f>'Resumen (G)'!I40-H78</f>
        <v>13713.310500629279</v>
      </c>
      <c r="I79" s="164">
        <f>((H79/G79)-1)</f>
        <v>2.5293825375696466E-2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3">
        <f>SUM(D78:D79)</f>
        <v>4129.979753842912</v>
      </c>
      <c r="E80" s="334">
        <f>SUM(E78:E79)</f>
        <v>4764.6260248452791</v>
      </c>
      <c r="F80" s="130"/>
      <c r="G80" s="259">
        <f>SUM(G78:G79)</f>
        <v>13385.949334150506</v>
      </c>
      <c r="H80" s="334">
        <f>SUM(H78:H79)</f>
        <v>13716.544566891778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46" zoomScaleNormal="100" zoomScaleSheetLayoutView="10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397" t="s">
        <v>126</v>
      </c>
      <c r="E8" s="398"/>
      <c r="F8" s="386" t="s">
        <v>74</v>
      </c>
      <c r="G8" s="388" t="s">
        <v>127</v>
      </c>
      <c r="H8" s="389"/>
      <c r="I8" s="386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87"/>
      <c r="G9" s="242">
        <v>2020</v>
      </c>
      <c r="H9" s="97">
        <v>2021</v>
      </c>
      <c r="I9" s="387"/>
      <c r="J9" s="26"/>
    </row>
    <row r="10" spans="2:13">
      <c r="C10" s="197" t="s">
        <v>10</v>
      </c>
      <c r="D10" s="198">
        <f>'Por Región (G)'!O8</f>
        <v>289.93064195147014</v>
      </c>
      <c r="E10" s="199">
        <f>'Por Región (G)'!P8</f>
        <v>354.25437734803933</v>
      </c>
      <c r="F10" s="200">
        <f>+E10/D10-1</f>
        <v>0.22185904519652655</v>
      </c>
      <c r="G10" s="348">
        <f>'Por Región (G)'!Q8</f>
        <v>899.90685112618212</v>
      </c>
      <c r="H10" s="199">
        <f>'Por Región (G)'!R8</f>
        <v>973.11470609161802</v>
      </c>
      <c r="I10" s="200">
        <f>+H10/G10-1</f>
        <v>8.1350480745668863E-2</v>
      </c>
      <c r="J10" s="26"/>
      <c r="L10" s="146" t="s">
        <v>9</v>
      </c>
      <c r="M10" s="235">
        <f>E11</f>
        <v>3945.1762342730394</v>
      </c>
    </row>
    <row r="11" spans="2:13">
      <c r="C11" s="201" t="s">
        <v>9</v>
      </c>
      <c r="D11" s="202">
        <f>'Por Región (G)'!O9</f>
        <v>3353.3569685308457</v>
      </c>
      <c r="E11" s="203">
        <f>'Por Región (G)'!P9</f>
        <v>3945.1762342730394</v>
      </c>
      <c r="F11" s="204">
        <f>+E11/D11-1</f>
        <v>0.17648561465303181</v>
      </c>
      <c r="G11" s="349">
        <f>'Por Región (G)'!Q9</f>
        <v>11087.365122704379</v>
      </c>
      <c r="H11" s="203">
        <f>'Por Región (G)'!R9</f>
        <v>11303.86402671052</v>
      </c>
      <c r="I11" s="204">
        <f>+H11/G11-1</f>
        <v>1.9526632487533169E-2</v>
      </c>
      <c r="J11" s="26"/>
      <c r="L11" s="146" t="s">
        <v>12</v>
      </c>
      <c r="M11" s="235">
        <f>E12</f>
        <v>628.48805447981374</v>
      </c>
    </row>
    <row r="12" spans="2:13">
      <c r="C12" s="201" t="s">
        <v>12</v>
      </c>
      <c r="D12" s="202">
        <f>'Por Región (G)'!O10</f>
        <v>611.51849052673913</v>
      </c>
      <c r="E12" s="203">
        <f>'Por Región (G)'!P10</f>
        <v>628.48805447981374</v>
      </c>
      <c r="F12" s="204">
        <f>+E12/D12-1</f>
        <v>2.7749878729681043E-2</v>
      </c>
      <c r="G12" s="349">
        <f>'Por Región (G)'!Q10</f>
        <v>1827.7299669095444</v>
      </c>
      <c r="H12" s="203">
        <f>'Por Región (G)'!R10</f>
        <v>1894.3260490381472</v>
      </c>
      <c r="I12" s="336">
        <f>+H12/G12-1</f>
        <v>3.6436499556446122E-2</v>
      </c>
      <c r="J12" s="26"/>
      <c r="L12" s="146" t="s">
        <v>10</v>
      </c>
      <c r="M12" s="235">
        <f>E10</f>
        <v>354.25437734803933</v>
      </c>
    </row>
    <row r="13" spans="2:13">
      <c r="C13" s="205" t="s">
        <v>11</v>
      </c>
      <c r="D13" s="206">
        <f>'Por Región (G)'!O11</f>
        <v>53.31568275173332</v>
      </c>
      <c r="E13" s="207">
        <f>'Por Región (G)'!P11</f>
        <v>39.647552705733339</v>
      </c>
      <c r="F13" s="208">
        <f>+E13/D13-1</f>
        <v>-0.25636228105051551</v>
      </c>
      <c r="G13" s="350">
        <f>'Por Región (G)'!Q11</f>
        <v>203.08910319839998</v>
      </c>
      <c r="H13" s="207">
        <f>'Por Región (G)'!R11</f>
        <v>104.94265811720001</v>
      </c>
      <c r="I13" s="208">
        <f>+H13/G13-1</f>
        <v>-0.48326790327750691</v>
      </c>
      <c r="J13" s="26"/>
      <c r="L13" s="146" t="s">
        <v>11</v>
      </c>
      <c r="M13" s="235">
        <f>E13</f>
        <v>39.647552705733339</v>
      </c>
    </row>
    <row r="14" spans="2:13" ht="13.8" thickBot="1">
      <c r="C14" s="211" t="s">
        <v>108</v>
      </c>
      <c r="D14" s="212">
        <f>SUM(D10:D13)</f>
        <v>4308.1217837607883</v>
      </c>
      <c r="E14" s="213">
        <f>SUM(E10:E13)</f>
        <v>4967.5662188066262</v>
      </c>
      <c r="F14" s="214">
        <f>+E14/D14-1</f>
        <v>0.15307005422445918</v>
      </c>
      <c r="G14" s="351">
        <f>SUM(G10:G13)</f>
        <v>14018.091043938504</v>
      </c>
      <c r="H14" s="213">
        <f>SUM(H10:H13)</f>
        <v>14276.247439957484</v>
      </c>
      <c r="I14" s="214">
        <f>+H14/G14-1</f>
        <v>1.8415945167556069E-2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4" t="s">
        <v>93</v>
      </c>
      <c r="D18" s="394"/>
      <c r="E18" s="394"/>
      <c r="F18" s="394"/>
      <c r="G18" s="395" t="s">
        <v>107</v>
      </c>
      <c r="H18" s="396"/>
      <c r="I18" s="396"/>
      <c r="J18" s="396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3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0" t="s">
        <v>13</v>
      </c>
      <c r="D54" s="392" t="s">
        <v>131</v>
      </c>
      <c r="E54" s="393"/>
      <c r="F54" s="393"/>
      <c r="G54" s="393"/>
      <c r="H54" s="393"/>
      <c r="I54" s="19"/>
      <c r="J54" s="19"/>
    </row>
    <row r="55" spans="3:13">
      <c r="C55" s="391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4">
        <f>'Resumen (G)'!F14-'PorZona (G)'!D58</f>
        <v>73.082105490000032</v>
      </c>
      <c r="E56" s="220">
        <v>160.91455001479792</v>
      </c>
      <c r="F56" s="220">
        <v>0</v>
      </c>
      <c r="G56" s="220">
        <v>120.25772184324137</v>
      </c>
      <c r="H56" s="220">
        <f>SUM(D56:G56)</f>
        <v>354.25437734803933</v>
      </c>
      <c r="I56" s="339"/>
      <c r="K56" s="313"/>
      <c r="L56" s="326"/>
      <c r="M56" s="326"/>
    </row>
    <row r="57" spans="3:13">
      <c r="C57" s="217" t="s">
        <v>9</v>
      </c>
      <c r="D57" s="345">
        <v>0</v>
      </c>
      <c r="E57" s="221">
        <v>2693.4009644728717</v>
      </c>
      <c r="F57" s="346">
        <v>6.4619999999999999E-3</v>
      </c>
      <c r="G57" s="221">
        <v>1251.7688078001679</v>
      </c>
      <c r="H57" s="221">
        <f>SUM(D57:G57)</f>
        <v>3945.1762342730394</v>
      </c>
      <c r="I57" s="339"/>
      <c r="K57" s="313"/>
      <c r="L57" s="326"/>
      <c r="M57" s="326"/>
    </row>
    <row r="58" spans="3:13">
      <c r="C58" s="217" t="s">
        <v>12</v>
      </c>
      <c r="D58" s="345">
        <v>62.864541680000023</v>
      </c>
      <c r="E58" s="221">
        <v>424.72558140935882</v>
      </c>
      <c r="F58" s="221">
        <f>'Resumen (G)'!D15</f>
        <v>63.765243977500049</v>
      </c>
      <c r="G58" s="221">
        <v>77.132687412954851</v>
      </c>
      <c r="H58" s="221">
        <f>SUM(D58:G58)</f>
        <v>628.48805447981374</v>
      </c>
      <c r="I58" s="339"/>
      <c r="K58" s="313"/>
      <c r="L58" s="326"/>
      <c r="M58" s="326"/>
    </row>
    <row r="59" spans="3:13">
      <c r="C59" s="218" t="s">
        <v>11</v>
      </c>
      <c r="D59" s="347">
        <v>0</v>
      </c>
      <c r="E59" s="222">
        <v>0</v>
      </c>
      <c r="F59" s="222">
        <v>0</v>
      </c>
      <c r="G59" s="222">
        <f>E13</f>
        <v>39.647552705733339</v>
      </c>
      <c r="H59" s="222">
        <f>SUM(D59:G59)</f>
        <v>39.647552705733339</v>
      </c>
      <c r="I59" s="339"/>
      <c r="K59" s="19"/>
      <c r="L59" s="326"/>
      <c r="M59" s="326"/>
    </row>
    <row r="60" spans="3:13" ht="13.8" thickBot="1">
      <c r="C60" s="116" t="s">
        <v>108</v>
      </c>
      <c r="D60" s="223">
        <f>SUM(D56:D59)</f>
        <v>135.94664717000006</v>
      </c>
      <c r="E60" s="224">
        <f>SUM(E56:E59)</f>
        <v>3279.0410958970283</v>
      </c>
      <c r="F60" s="224">
        <f>SUM(F56:F59)</f>
        <v>63.771705977500048</v>
      </c>
      <c r="G60" s="224">
        <f>SUM(G56:G59)</f>
        <v>1488.8067697620972</v>
      </c>
      <c r="H60" s="224">
        <f>SUM(H56:H59)</f>
        <v>4967.5662188066262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2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topLeftCell="A3" zoomScale="80" zoomScaleNormal="100" zoomScaleSheetLayoutView="8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397" t="s">
        <v>126</v>
      </c>
      <c r="E6" s="398"/>
      <c r="F6" s="386" t="s">
        <v>74</v>
      </c>
      <c r="G6" s="388" t="s">
        <v>127</v>
      </c>
      <c r="H6" s="389"/>
      <c r="I6" s="386" t="s">
        <v>74</v>
      </c>
      <c r="O6" s="47"/>
      <c r="P6" s="86"/>
      <c r="Q6" s="399" t="s">
        <v>116</v>
      </c>
      <c r="R6" s="399"/>
    </row>
    <row r="7" spans="3:19" ht="12.75" customHeight="1">
      <c r="C7" s="110"/>
      <c r="D7" s="111">
        <v>2020</v>
      </c>
      <c r="E7" s="97">
        <v>2021</v>
      </c>
      <c r="F7" s="387"/>
      <c r="G7" s="242">
        <v>2020</v>
      </c>
      <c r="H7" s="97">
        <v>2021</v>
      </c>
      <c r="I7" s="387"/>
      <c r="N7" s="54"/>
      <c r="O7" s="323">
        <v>2020</v>
      </c>
      <c r="P7" s="325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363">
        <v>3.1779743695999998</v>
      </c>
      <c r="E8" s="362">
        <v>3.0345677256000001</v>
      </c>
      <c r="F8" s="226">
        <f>+E8/D8-1</f>
        <v>-4.5125173246142292E-2</v>
      </c>
      <c r="G8" s="361">
        <v>8.8551174896000013</v>
      </c>
      <c r="H8" s="362">
        <v>9.1037031767999999</v>
      </c>
      <c r="I8" s="226">
        <f>+H8/G8-1</f>
        <v>2.8072545337987087E-2</v>
      </c>
      <c r="J8" s="26"/>
      <c r="K8" s="46"/>
      <c r="L8" s="46"/>
      <c r="N8" s="57" t="s">
        <v>10</v>
      </c>
      <c r="O8" s="71">
        <f>SUM(D8,D13,D20,D21,D27,D29,D31)</f>
        <v>289.93064195147014</v>
      </c>
      <c r="P8" s="71">
        <f t="shared" ref="P8" si="0">SUM(E8,E13,E20,E21,E27,E29,E31)</f>
        <v>354.25437734803933</v>
      </c>
      <c r="Q8" s="71">
        <f>SUM(G8,G13,G20,G21,G27,G29,G31)</f>
        <v>899.90685112618212</v>
      </c>
      <c r="R8" s="71">
        <f>SUM(H8,H13,H20,H21,H27,H29,H31)</f>
        <v>973.11470609161802</v>
      </c>
    </row>
    <row r="9" spans="3:19" ht="20.100000000000001" customHeight="1">
      <c r="C9" s="119" t="s">
        <v>18</v>
      </c>
      <c r="D9" s="225">
        <v>269.80308822109993</v>
      </c>
      <c r="E9" s="287">
        <v>284.97802515690012</v>
      </c>
      <c r="F9" s="227">
        <f t="shared" ref="F9:F32" si="1">+E9/D9-1</f>
        <v>5.6244489400968378E-2</v>
      </c>
      <c r="G9" s="243">
        <v>786.58413005609998</v>
      </c>
      <c r="H9" s="287">
        <v>788.93572124820003</v>
      </c>
      <c r="I9" s="302">
        <f t="shared" ref="I9:I32" si="2">+H9/G9-1</f>
        <v>2.9896245070852867E-3</v>
      </c>
      <c r="J9" s="26"/>
      <c r="K9" s="46"/>
      <c r="L9" s="46"/>
      <c r="N9" s="57" t="s">
        <v>9</v>
      </c>
      <c r="O9" s="323">
        <f>SUM(D9,D14,D16,D17,D19,D22,D26,D32)</f>
        <v>3353.3569685308457</v>
      </c>
      <c r="P9" s="323">
        <f>SUM(E9,E14,E16,E17,E19,E22,E26,E32)</f>
        <v>3945.1762342730394</v>
      </c>
      <c r="Q9" s="323">
        <f>SUM(G9,G14,G16,G17,G19,G22,G26,G32)</f>
        <v>11087.365122704379</v>
      </c>
      <c r="R9" s="323">
        <f>SUM(H9,H14,H16,H17,H19,H22,H26,H32)</f>
        <v>11303.86402671052</v>
      </c>
    </row>
    <row r="10" spans="3:19" ht="20.100000000000001" customHeight="1">
      <c r="C10" s="120" t="s">
        <v>19</v>
      </c>
      <c r="D10" s="225">
        <v>5.1136071446368785</v>
      </c>
      <c r="E10" s="287">
        <v>4.3017905000000001</v>
      </c>
      <c r="F10" s="227">
        <f t="shared" si="1"/>
        <v>-0.15875616207402776</v>
      </c>
      <c r="G10" s="243">
        <v>14.588547922194602</v>
      </c>
      <c r="H10" s="287">
        <v>12.765371499999997</v>
      </c>
      <c r="I10" s="227">
        <f t="shared" si="2"/>
        <v>-0.12497312494143953</v>
      </c>
      <c r="J10" s="26"/>
      <c r="K10" s="46"/>
      <c r="L10" s="46"/>
      <c r="N10" s="54" t="s">
        <v>12</v>
      </c>
      <c r="O10" s="323">
        <f>SUM(D10,D11,D12,D15,D18,D24,D25,D28,D30)</f>
        <v>611.51849052673913</v>
      </c>
      <c r="P10" s="323">
        <f t="shared" ref="P10" si="3">SUM(E10,E11,E12,E15,E18,E24,E25,E28,E30)</f>
        <v>628.48805447981374</v>
      </c>
      <c r="Q10" s="323">
        <f>SUM(G10,G11,G12,G15,G18,G24,G25,G28,G30)</f>
        <v>1827.7299669095444</v>
      </c>
      <c r="R10" s="323">
        <f>SUM(H10,H11,H12,H15,H18,H24,H25,H28,H30)</f>
        <v>1894.3260490381472</v>
      </c>
    </row>
    <row r="11" spans="3:19" ht="20.100000000000001" customHeight="1">
      <c r="C11" s="119" t="s">
        <v>20</v>
      </c>
      <c r="D11" s="225">
        <v>145.66143119570762</v>
      </c>
      <c r="E11" s="287">
        <v>114.67737352374995</v>
      </c>
      <c r="F11" s="302">
        <f t="shared" si="1"/>
        <v>-0.21271284661708523</v>
      </c>
      <c r="G11" s="243">
        <v>377.45822989210563</v>
      </c>
      <c r="H11" s="287">
        <v>334.47957388874994</v>
      </c>
      <c r="I11" s="227">
        <f t="shared" si="2"/>
        <v>-0.1138633432781182</v>
      </c>
      <c r="J11" s="26"/>
      <c r="K11" s="46"/>
      <c r="L11" s="46"/>
      <c r="N11" s="324" t="s">
        <v>11</v>
      </c>
      <c r="O11" s="71">
        <f>D23</f>
        <v>53.31568275173332</v>
      </c>
      <c r="P11" s="71">
        <f t="shared" ref="P11" si="4">E23</f>
        <v>39.647552705733339</v>
      </c>
      <c r="Q11" s="71">
        <f>G23</f>
        <v>203.08910319839998</v>
      </c>
      <c r="R11" s="71">
        <f>H23</f>
        <v>104.94265811720001</v>
      </c>
    </row>
    <row r="12" spans="3:19" ht="20.100000000000001" customHeight="1">
      <c r="C12" s="119" t="s">
        <v>21</v>
      </c>
      <c r="D12" s="355">
        <v>0.96577621222791632</v>
      </c>
      <c r="E12" s="318">
        <v>1.0459034999999999</v>
      </c>
      <c r="F12" s="227">
        <f t="shared" si="1"/>
        <v>8.2966723302534628E-2</v>
      </c>
      <c r="G12" s="354">
        <v>2.871513370244005</v>
      </c>
      <c r="H12" s="318">
        <v>3.1780884999999994</v>
      </c>
      <c r="I12" s="227">
        <f t="shared" si="2"/>
        <v>0.10676430516844282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5">
        <v>129.39500173023885</v>
      </c>
      <c r="E13" s="287">
        <v>138.05183418420006</v>
      </c>
      <c r="F13" s="227">
        <f t="shared" si="1"/>
        <v>6.6902371329681465E-2</v>
      </c>
      <c r="G13" s="243">
        <v>359.25392198337215</v>
      </c>
      <c r="H13" s="287">
        <v>396.30029872260008</v>
      </c>
      <c r="I13" s="227">
        <f t="shared" si="2"/>
        <v>0.10312031260424925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5">
        <v>167.55269165031078</v>
      </c>
      <c r="E14" s="287">
        <v>137.37990222281073</v>
      </c>
      <c r="F14" s="227">
        <f t="shared" si="1"/>
        <v>-0.18007940744080597</v>
      </c>
      <c r="G14" s="243">
        <v>580.58696459843225</v>
      </c>
      <c r="H14" s="287">
        <v>520.15486262343222</v>
      </c>
      <c r="I14" s="227">
        <f t="shared" si="2"/>
        <v>-0.10408794144525513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5">
        <v>157.36241353916665</v>
      </c>
      <c r="E15" s="287">
        <v>200.04062633416675</v>
      </c>
      <c r="F15" s="227">
        <f t="shared" si="1"/>
        <v>0.27120969890549951</v>
      </c>
      <c r="G15" s="243">
        <v>535.78950189499994</v>
      </c>
      <c r="H15" s="287">
        <v>582.12953886250011</v>
      </c>
      <c r="I15" s="352">
        <f t="shared" si="2"/>
        <v>8.6489258941436997E-2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5">
        <v>927.48908689000018</v>
      </c>
      <c r="E16" s="287">
        <v>906.21485583000003</v>
      </c>
      <c r="F16" s="227">
        <f t="shared" si="1"/>
        <v>-2.2937446230591907E-2</v>
      </c>
      <c r="G16" s="243">
        <v>2862.3427810950002</v>
      </c>
      <c r="H16" s="287">
        <v>2829.7170475100002</v>
      </c>
      <c r="I16" s="302">
        <f t="shared" si="2"/>
        <v>-1.1398262220892685E-2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5">
        <v>286.13167193083336</v>
      </c>
      <c r="E17" s="287">
        <v>317.57039780583341</v>
      </c>
      <c r="F17" s="227">
        <f t="shared" si="1"/>
        <v>0.1098750294326023</v>
      </c>
      <c r="G17" s="243">
        <v>997.03119735999996</v>
      </c>
      <c r="H17" s="287">
        <v>966.00577830249995</v>
      </c>
      <c r="I17" s="302">
        <f t="shared" si="2"/>
        <v>-3.1117801669246714E-2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5">
        <v>123.73691128666665</v>
      </c>
      <c r="E18" s="287">
        <v>103.37567733666668</v>
      </c>
      <c r="F18" s="227">
        <f t="shared" si="1"/>
        <v>-0.16455262813881155</v>
      </c>
      <c r="G18" s="243">
        <v>347.15788581749996</v>
      </c>
      <c r="H18" s="287">
        <v>366.01081054750006</v>
      </c>
      <c r="I18" s="227">
        <f t="shared" si="2"/>
        <v>5.4306485608427213E-2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5">
        <v>315.33249514666676</v>
      </c>
      <c r="E19" s="287">
        <v>321.08813464166633</v>
      </c>
      <c r="F19" s="227">
        <f t="shared" si="1"/>
        <v>1.8252605055252946E-2</v>
      </c>
      <c r="G19" s="243">
        <v>960.64651268750004</v>
      </c>
      <c r="H19" s="287">
        <v>940.81636167249985</v>
      </c>
      <c r="I19" s="302">
        <f t="shared" si="2"/>
        <v>-2.0642505597114447E-2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5">
        <v>55.41461221452596</v>
      </c>
      <c r="E20" s="287">
        <v>104.65884625813395</v>
      </c>
      <c r="F20" s="302">
        <f t="shared" si="1"/>
        <v>0.88865070196592444</v>
      </c>
      <c r="G20" s="243">
        <v>190.68839625359388</v>
      </c>
      <c r="H20" s="287">
        <v>229.08524980440183</v>
      </c>
      <c r="I20" s="227">
        <f t="shared" si="2"/>
        <v>0.20135915087221412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55">
        <v>5.3852220991666684</v>
      </c>
      <c r="E21" s="318">
        <v>4.6678736941666683</v>
      </c>
      <c r="F21" s="227">
        <f t="shared" si="1"/>
        <v>-0.13320683748791073</v>
      </c>
      <c r="G21" s="243">
        <v>16.074245905000005</v>
      </c>
      <c r="H21" s="287">
        <v>15.633907400000005</v>
      </c>
      <c r="I21" s="227">
        <f t="shared" si="2"/>
        <v>-2.739403811553176E-2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5">
        <v>1283.725731988601</v>
      </c>
      <c r="E22" s="287">
        <v>1865.1445195724955</v>
      </c>
      <c r="F22" s="227">
        <f t="shared" si="1"/>
        <v>0.45291511504036541</v>
      </c>
      <c r="G22" s="243">
        <v>4574.3546702423464</v>
      </c>
      <c r="H22" s="287">
        <v>4929.2475306238857</v>
      </c>
      <c r="I22" s="227">
        <f t="shared" si="2"/>
        <v>7.7583153464297894E-2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5">
        <v>53.31568275173332</v>
      </c>
      <c r="E23" s="287">
        <v>39.647552705733339</v>
      </c>
      <c r="F23" s="227">
        <f t="shared" si="1"/>
        <v>-0.25636228105051551</v>
      </c>
      <c r="G23" s="243">
        <v>203.08910319839998</v>
      </c>
      <c r="H23" s="287">
        <v>104.94265811720001</v>
      </c>
      <c r="I23" s="227">
        <f t="shared" si="2"/>
        <v>-0.48326790327750691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55">
        <v>0.41772552000000002</v>
      </c>
      <c r="E24" s="318">
        <v>0.16644184939704329</v>
      </c>
      <c r="F24" s="227">
        <f t="shared" si="1"/>
        <v>-0.60155211633456518</v>
      </c>
      <c r="G24" s="354">
        <v>0.71993385750000016</v>
      </c>
      <c r="H24" s="318">
        <v>0.41932509939704332</v>
      </c>
      <c r="I24" s="302">
        <f t="shared" si="2"/>
        <v>-0.41755052213662114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5">
        <v>53.902230485833329</v>
      </c>
      <c r="E25" s="287">
        <v>63.26313122333336</v>
      </c>
      <c r="F25" s="227">
        <f t="shared" si="1"/>
        <v>0.1736644412138062</v>
      </c>
      <c r="G25" s="243">
        <v>153.54142325500001</v>
      </c>
      <c r="H25" s="287">
        <v>185.16652167000007</v>
      </c>
      <c r="I25" s="227">
        <f t="shared" si="2"/>
        <v>0.20597111674858848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5">
        <v>101.72213874749998</v>
      </c>
      <c r="E26" s="287">
        <v>97.733115757499988</v>
      </c>
      <c r="F26" s="227">
        <f t="shared" si="1"/>
        <v>-3.9214894998440331E-2</v>
      </c>
      <c r="G26" s="243">
        <v>305.13369585499998</v>
      </c>
      <c r="H26" s="287">
        <v>292.31831718249998</v>
      </c>
      <c r="I26" s="227">
        <f t="shared" si="2"/>
        <v>-4.1999224754875608E-2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5">
        <v>89.495329537938659</v>
      </c>
      <c r="E27" s="287">
        <v>98.75286398593866</v>
      </c>
      <c r="F27" s="227">
        <f t="shared" si="1"/>
        <v>0.10344153707010562</v>
      </c>
      <c r="G27" s="243">
        <v>306.25154849461597</v>
      </c>
      <c r="H27" s="287">
        <v>308.72637248781598</v>
      </c>
      <c r="I27" s="227">
        <f t="shared" si="2"/>
        <v>8.0810170768605971E-3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5">
        <v>111.46173284250001</v>
      </c>
      <c r="E28" s="287">
        <v>127.24457790000005</v>
      </c>
      <c r="F28" s="227">
        <f t="shared" si="1"/>
        <v>0.14159877704217871</v>
      </c>
      <c r="G28" s="243">
        <v>357.62294262500001</v>
      </c>
      <c r="H28" s="287">
        <v>367.70322613750011</v>
      </c>
      <c r="I28" s="227">
        <f t="shared" si="2"/>
        <v>2.8186903889637183E-2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5">
        <v>5.9619540000000004</v>
      </c>
      <c r="E29" s="318">
        <v>3.9878434999999999</v>
      </c>
      <c r="F29" s="227">
        <f t="shared" si="1"/>
        <v>-0.33111803613379109</v>
      </c>
      <c r="G29" s="243">
        <v>15.481977000000002</v>
      </c>
      <c r="H29" s="287">
        <v>10.963530499999999</v>
      </c>
      <c r="I29" s="302">
        <f t="shared" si="2"/>
        <v>-0.29185203543449278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225">
        <v>12.896662299999999</v>
      </c>
      <c r="E30" s="287">
        <v>14.372532312499999</v>
      </c>
      <c r="F30" s="227">
        <f t="shared" si="1"/>
        <v>0.11443813741637632</v>
      </c>
      <c r="G30" s="243">
        <v>37.979988274999997</v>
      </c>
      <c r="H30" s="287">
        <v>42.473592832500003</v>
      </c>
      <c r="I30" s="227">
        <f t="shared" si="2"/>
        <v>0.11831505910331952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55">
        <v>1.1005480000000003</v>
      </c>
      <c r="E31" s="318">
        <v>1.1005480000000003</v>
      </c>
      <c r="F31" s="302">
        <f>+E31/D31-1</f>
        <v>0</v>
      </c>
      <c r="G31" s="243">
        <v>3.3016440000000005</v>
      </c>
      <c r="H31" s="287">
        <v>3.3016440000000009</v>
      </c>
      <c r="I31" s="227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1.6000639558333334</v>
      </c>
      <c r="E32" s="288">
        <v>15.067283285833334</v>
      </c>
      <c r="F32" s="228">
        <f t="shared" si="1"/>
        <v>8.4166756465594545</v>
      </c>
      <c r="G32" s="244">
        <v>20.685170810000002</v>
      </c>
      <c r="H32" s="288">
        <v>36.668407547500003</v>
      </c>
      <c r="I32" s="228">
        <f t="shared" si="2"/>
        <v>0.77269058516901845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7" t="s">
        <v>108</v>
      </c>
      <c r="D33" s="112">
        <f>SUM(D8:D32)</f>
        <v>4308.1217837607883</v>
      </c>
      <c r="E33" s="289">
        <f>SUM(E8:E32)</f>
        <v>4967.5662188066271</v>
      </c>
      <c r="F33" s="117">
        <f>+E33/D33-1</f>
        <v>0.15307005422445941</v>
      </c>
      <c r="G33" s="245">
        <f>SUM(G8:G32)</f>
        <v>14018.091043938499</v>
      </c>
      <c r="H33" s="289">
        <f>SUM(H8:H32)</f>
        <v>14276.247439957482</v>
      </c>
      <c r="I33" s="246">
        <f>+H33/G33-1</f>
        <v>1.8415945167556291E-2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6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1865.1445195724955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906.21485583000003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321.08813464166633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317.57039780583341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284.97802515690012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200.04062633416675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22</v>
      </c>
      <c r="O50" s="52">
        <v>138.05183418420006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59</v>
      </c>
      <c r="O51" s="53">
        <v>137.37990222281073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36</v>
      </c>
      <c r="O52" s="53">
        <v>127.24457790000005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114.67737352374995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104.65884625813395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26</v>
      </c>
      <c r="O55" s="52">
        <v>103.37567733666668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35</v>
      </c>
      <c r="O56" s="53">
        <v>98.75286398593866</v>
      </c>
      <c r="P56" s="8"/>
      <c r="S56" s="91"/>
    </row>
    <row r="57" spans="3:19">
      <c r="N57" s="51" t="s">
        <v>34</v>
      </c>
      <c r="O57" s="52">
        <v>97.733115757499988</v>
      </c>
      <c r="S57" s="91"/>
    </row>
    <row r="58" spans="3:19">
      <c r="N58" s="51" t="s">
        <v>33</v>
      </c>
      <c r="O58" s="52">
        <v>63.26313122333336</v>
      </c>
      <c r="S58" s="122"/>
    </row>
    <row r="59" spans="3:19">
      <c r="N59" s="51" t="s">
        <v>31</v>
      </c>
      <c r="O59" s="52">
        <v>39.647552705733339</v>
      </c>
      <c r="S59" s="91"/>
    </row>
    <row r="60" spans="3:19">
      <c r="N60" s="51" t="s">
        <v>40</v>
      </c>
      <c r="O60" s="52">
        <v>15.067283285833334</v>
      </c>
      <c r="S60" s="91"/>
    </row>
    <row r="61" spans="3:19">
      <c r="N61" s="51" t="s">
        <v>38</v>
      </c>
      <c r="O61" s="52">
        <v>14.372532312499999</v>
      </c>
      <c r="S61" s="91"/>
    </row>
    <row r="62" spans="3:19">
      <c r="N62" s="51" t="s">
        <v>29</v>
      </c>
      <c r="O62" s="52">
        <v>4.6678736941666683</v>
      </c>
      <c r="S62" s="91"/>
    </row>
    <row r="63" spans="3:19">
      <c r="N63" s="50" t="s">
        <v>19</v>
      </c>
      <c r="O63" s="53">
        <v>4.3017905000000001</v>
      </c>
      <c r="S63" s="91"/>
    </row>
    <row r="64" spans="3:19">
      <c r="N64" s="50" t="s">
        <v>37</v>
      </c>
      <c r="O64" s="53">
        <v>3.9878434999999999</v>
      </c>
      <c r="S64" s="91"/>
    </row>
    <row r="65" spans="6:19">
      <c r="N65" s="50" t="s">
        <v>17</v>
      </c>
      <c r="O65" s="53">
        <v>3.0345677256000001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1.0459034999999999</v>
      </c>
      <c r="S67" s="91"/>
    </row>
    <row r="68" spans="6:19">
      <c r="N68" s="9" t="s">
        <v>32</v>
      </c>
      <c r="O68" s="52">
        <v>0.16644184939704329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2021-04-15T22:42:54Z</dcterms:modified>
</cp:coreProperties>
</file>